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010" activeTab="4"/>
  </bookViews>
  <sheets>
    <sheet name="PLANILHA" sheetId="11" r:id="rId1"/>
    <sheet name="MEMORIA" sheetId="10" r:id="rId2"/>
    <sheet name="COMPOSIÇÃO BDI" sheetId="12" r:id="rId3"/>
    <sheet name="RELAÇÃO DE RUAS " sheetId="9" r:id="rId4"/>
    <sheet name="CRONOGRAMA" sheetId="13" r:id="rId5"/>
  </sheets>
  <externalReferences>
    <externalReference r:id="rId6"/>
  </externalReferences>
  <definedNames>
    <definedName name="_xlnm.Print_Area" localSheetId="1">MEMORIA!$A$1:$P$30</definedName>
    <definedName name="_xlnm.Print_Area" localSheetId="0">PLANILHA!$A$1:$AM$71</definedName>
    <definedName name="_xlnm.Print_Area" localSheetId="3">'RELAÇÃO DE RUAS '!$A$1:$P$19</definedName>
    <definedName name="_xlnm.Print_Titles" localSheetId="1">MEMORIA!$1:$9</definedName>
    <definedName name="_xlnm.Print_Titles" localSheetId="0">PLANILHA!$2:$29</definedName>
  </definedNames>
  <calcPr calcId="144525"/>
</workbook>
</file>

<file path=xl/calcChain.xml><?xml version="1.0" encoding="utf-8"?>
<calcChain xmlns="http://schemas.openxmlformats.org/spreadsheetml/2006/main">
  <c r="H17" i="13" l="1"/>
  <c r="G17" i="13"/>
  <c r="G21" i="13"/>
  <c r="H21" i="13"/>
  <c r="H32" i="13" s="1"/>
  <c r="G15" i="13"/>
  <c r="F15" i="13"/>
  <c r="F32" i="13" s="1"/>
  <c r="F30" i="11"/>
  <c r="C32" i="13"/>
  <c r="D18" i="13" s="1"/>
  <c r="H19" i="13"/>
  <c r="F13" i="13"/>
  <c r="G32" i="13" l="1"/>
  <c r="F33" i="13"/>
  <c r="D16" i="13"/>
  <c r="D12" i="13"/>
  <c r="F34" i="13"/>
  <c r="D14" i="13"/>
  <c r="F31" i="11"/>
  <c r="F50" i="11"/>
  <c r="F35" i="13" l="1"/>
  <c r="G34" i="13"/>
  <c r="H34" i="13" s="1"/>
  <c r="H33" i="13" s="1"/>
  <c r="D32" i="13"/>
  <c r="AH32" i="11"/>
  <c r="AH40" i="11"/>
  <c r="AH45" i="11"/>
  <c r="AH56" i="11"/>
  <c r="G33" i="13" l="1"/>
  <c r="G35" i="13" s="1"/>
  <c r="AE55" i="11"/>
  <c r="AE49" i="11"/>
  <c r="AE48" i="11"/>
  <c r="AE44" i="11"/>
  <c r="AE43" i="11"/>
  <c r="AE39" i="11"/>
  <c r="AE38" i="11"/>
  <c r="AE37" i="11"/>
  <c r="AE36" i="11"/>
  <c r="AE35" i="11"/>
  <c r="AE31" i="11"/>
  <c r="AE54" i="11"/>
  <c r="AH55" i="11"/>
  <c r="AH43" i="11"/>
  <c r="AH39" i="11"/>
  <c r="AH38" i="11"/>
  <c r="AH35" i="11"/>
  <c r="H35" i="13" l="1"/>
  <c r="R18" i="9"/>
  <c r="I18" i="9"/>
  <c r="J18" i="9"/>
  <c r="K18" i="9"/>
  <c r="L18" i="9"/>
  <c r="M18" i="9"/>
  <c r="N18" i="9"/>
  <c r="G15" i="9" l="1"/>
  <c r="H15" i="9"/>
  <c r="F38" i="11"/>
  <c r="S18" i="9" l="1"/>
  <c r="F36" i="11" l="1"/>
  <c r="F55" i="11" l="1"/>
  <c r="F39" i="11" l="1"/>
  <c r="O42" i="12" l="1"/>
  <c r="Q14" i="9" l="1"/>
  <c r="Q13" i="9"/>
  <c r="F14" i="9" l="1"/>
  <c r="H14" i="9" s="1"/>
  <c r="P14" i="9"/>
  <c r="I50" i="12" l="1"/>
  <c r="J49" i="12"/>
  <c r="I49" i="12"/>
  <c r="J48" i="12"/>
  <c r="J47" i="12"/>
  <c r="A45" i="12"/>
  <c r="A46" i="12" s="1"/>
  <c r="C44" i="12"/>
  <c r="I42" i="12"/>
  <c r="A39" i="12"/>
  <c r="C39" i="12" s="1"/>
  <c r="C38" i="12"/>
  <c r="I35" i="12"/>
  <c r="M32" i="12"/>
  <c r="I29" i="12"/>
  <c r="A28" i="12"/>
  <c r="A29" i="12" s="1"/>
  <c r="C27" i="12"/>
  <c r="N24" i="12"/>
  <c r="M22" i="12"/>
  <c r="I22" i="12"/>
  <c r="C22" i="12"/>
  <c r="A22" i="12"/>
  <c r="A23" i="12" s="1"/>
  <c r="C23" i="12" s="1"/>
  <c r="M21" i="12"/>
  <c r="I21" i="12"/>
  <c r="C21" i="12"/>
  <c r="M20" i="12"/>
  <c r="I20" i="12"/>
  <c r="M19" i="12"/>
  <c r="I19" i="12"/>
  <c r="M18" i="12"/>
  <c r="I18" i="12"/>
  <c r="A15" i="12"/>
  <c r="C15" i="12" s="1"/>
  <c r="C14" i="12"/>
  <c r="C13" i="12"/>
  <c r="C12" i="12"/>
  <c r="Q11" i="12"/>
  <c r="N25" i="12" s="1"/>
  <c r="O25" i="12" s="1"/>
  <c r="C11" i="12"/>
  <c r="C10" i="12"/>
  <c r="C9" i="12"/>
  <c r="I8" i="12"/>
  <c r="C8" i="12"/>
  <c r="K5" i="12"/>
  <c r="I5" i="12"/>
  <c r="A3" i="12"/>
  <c r="A4" i="12" s="1"/>
  <c r="C2" i="12"/>
  <c r="C3" i="12" l="1"/>
  <c r="C28" i="12"/>
  <c r="C45" i="12"/>
  <c r="N27" i="12"/>
  <c r="A5" i="12"/>
  <c r="C4" i="12"/>
  <c r="A32" i="12"/>
  <c r="C29" i="12"/>
  <c r="A47" i="12"/>
  <c r="C46" i="12"/>
  <c r="A17" i="12"/>
  <c r="A24" i="12"/>
  <c r="L32" i="12"/>
  <c r="M33" i="12"/>
  <c r="I37" i="12"/>
  <c r="A40" i="12"/>
  <c r="N26" i="12"/>
  <c r="C17" i="12" l="1"/>
  <c r="A18" i="12"/>
  <c r="A48" i="12"/>
  <c r="C47" i="12"/>
  <c r="C32" i="12"/>
  <c r="A33" i="12"/>
  <c r="A6" i="12"/>
  <c r="C5" i="12"/>
  <c r="C40" i="12"/>
  <c r="A41" i="12"/>
  <c r="A25" i="12"/>
  <c r="C24" i="12"/>
  <c r="C41" i="12" l="1"/>
  <c r="A42" i="12"/>
  <c r="A34" i="12"/>
  <c r="C34" i="12" s="1"/>
  <c r="C33" i="12"/>
  <c r="A19" i="12"/>
  <c r="C18" i="12"/>
  <c r="A26" i="12"/>
  <c r="C26" i="12" s="1"/>
  <c r="C25" i="12"/>
  <c r="A7" i="12"/>
  <c r="C7" i="12" s="1"/>
  <c r="R22" i="12" s="1"/>
  <c r="C6" i="12"/>
  <c r="Q18" i="12" s="1"/>
  <c r="A49" i="12"/>
  <c r="C49" i="12" s="1"/>
  <c r="C48" i="12"/>
  <c r="A20" i="12" l="1"/>
  <c r="C20" i="12" s="1"/>
  <c r="C19" i="12"/>
  <c r="Q26" i="12"/>
  <c r="P21" i="12"/>
  <c r="R18" i="12"/>
  <c r="R26" i="12"/>
  <c r="P26" i="12"/>
  <c r="O26" i="12" s="1"/>
  <c r="O27" i="12" s="1"/>
  <c r="R21" i="12"/>
  <c r="Q19" i="12"/>
  <c r="Q20" i="12"/>
  <c r="P19" i="12"/>
  <c r="Q22" i="12"/>
  <c r="P20" i="12"/>
  <c r="R19" i="12"/>
  <c r="Q21" i="12"/>
  <c r="P22" i="12"/>
  <c r="R20" i="12"/>
  <c r="P18" i="12"/>
  <c r="C42" i="12"/>
  <c r="A43" i="12"/>
  <c r="C43" i="12" s="1"/>
  <c r="G16" i="9" l="1"/>
  <c r="H16" i="9"/>
  <c r="P18" i="9" l="1"/>
  <c r="F54" i="11" l="1"/>
  <c r="S19" i="9" l="1"/>
  <c r="C29" i="10" s="1"/>
  <c r="C27" i="10"/>
  <c r="H18" i="9"/>
  <c r="G18" i="9"/>
  <c r="O18" i="9"/>
  <c r="O19" i="9" s="1"/>
  <c r="Q18" i="9"/>
  <c r="F34" i="10" l="1"/>
  <c r="AA54" i="11" s="1"/>
  <c r="C30" i="10"/>
  <c r="Q19" i="9" l="1"/>
  <c r="B5" i="10"/>
  <c r="C25" i="10" l="1"/>
  <c r="F26" i="10" l="1"/>
  <c r="D22" i="10" l="1"/>
  <c r="F17" i="10" l="1"/>
  <c r="F18" i="10"/>
  <c r="F43" i="11" l="1"/>
  <c r="B3" i="10"/>
  <c r="F11" i="10"/>
  <c r="U31" i="11" s="1"/>
  <c r="A30" i="11"/>
  <c r="AA30" i="11"/>
  <c r="AE30" i="11"/>
  <c r="AH30" i="11"/>
  <c r="A31" i="11"/>
  <c r="F34" i="11"/>
  <c r="F35" i="11"/>
  <c r="F37" i="11"/>
  <c r="F42" i="11"/>
  <c r="F47" i="11"/>
  <c r="F48" i="11"/>
  <c r="F49" i="11"/>
  <c r="AA55" i="11"/>
  <c r="AA56" i="11" s="1"/>
  <c r="F19" i="10" l="1"/>
  <c r="J19" i="10" s="1"/>
  <c r="AA38" i="11" l="1"/>
  <c r="P20" i="10"/>
  <c r="L20" i="10"/>
  <c r="AA37" i="11"/>
  <c r="AH37" i="11"/>
  <c r="AA36" i="11"/>
  <c r="AH44" i="11"/>
  <c r="AH36" i="11"/>
  <c r="AH49" i="11"/>
  <c r="AH51" i="11" s="1"/>
  <c r="AA49" i="11"/>
  <c r="AA44" i="11"/>
  <c r="AA48" i="11"/>
  <c r="AA43" i="11"/>
  <c r="AE50" i="11"/>
  <c r="AH50" i="11" s="1"/>
  <c r="AH48" i="11"/>
  <c r="AA31" i="11"/>
  <c r="AA32" i="11" s="1"/>
  <c r="AH57" i="11" l="1"/>
  <c r="AA39" i="11"/>
  <c r="AH31" i="11"/>
  <c r="AA45" i="11"/>
  <c r="AA50" i="11" l="1"/>
  <c r="AA51" i="11" s="1"/>
  <c r="F14" i="10"/>
  <c r="F15" i="10" s="1"/>
  <c r="J15" i="10" s="1"/>
  <c r="J16" i="10" l="1"/>
  <c r="O16" i="10" s="1"/>
  <c r="AA35" i="11" l="1"/>
  <c r="AA40" i="11" l="1"/>
  <c r="AA57" i="11" s="1"/>
</calcChain>
</file>

<file path=xl/sharedStrings.xml><?xml version="1.0" encoding="utf-8"?>
<sst xmlns="http://schemas.openxmlformats.org/spreadsheetml/2006/main" count="385" uniqueCount="258">
  <si>
    <t>ITEM</t>
  </si>
  <si>
    <t>CÓDIGO</t>
  </si>
  <si>
    <t>1.1</t>
  </si>
  <si>
    <t>2.1</t>
  </si>
  <si>
    <t>RELAÇÃO DE RUAS</t>
  </si>
  <si>
    <t>3.1</t>
  </si>
  <si>
    <t>%</t>
  </si>
  <si>
    <t>NOME DAS RUAS</t>
  </si>
  <si>
    <t>TOTAIS GERAIS</t>
  </si>
  <si>
    <t>COMPRIMENTO (m)</t>
  </si>
  <si>
    <t>MEMÓRIA DE CÁLCULO DOS QUANTITATIVOS</t>
  </si>
  <si>
    <t>DISCRIMINAÇÃO DOS SERVIÇOS</t>
  </si>
  <si>
    <t>COMPR. (m)</t>
  </si>
  <si>
    <t>LARG. (m)</t>
  </si>
  <si>
    <t>ÁREA (m²)</t>
  </si>
  <si>
    <t>ESP. (m)</t>
  </si>
  <si>
    <t>VOLUME (m³)</t>
  </si>
  <si>
    <t>PESO ESPCIF. (ton/m³)</t>
  </si>
  <si>
    <t>PESO (ton)</t>
  </si>
  <si>
    <t>DMT (km)</t>
  </si>
  <si>
    <t>MOM. TRANSP. (tonxkm)</t>
  </si>
  <si>
    <t>MOM. TRANSP. (m³xkm)</t>
  </si>
  <si>
    <t>2.2</t>
  </si>
  <si>
    <t>4.1</t>
  </si>
  <si>
    <t>IMPLANTAÇÃO</t>
  </si>
  <si>
    <t>CONSUMO DE MATERIAIS</t>
  </si>
  <si>
    <t>3.2</t>
  </si>
  <si>
    <t>5.1</t>
  </si>
  <si>
    <t>UNID.</t>
  </si>
  <si>
    <t>m³</t>
  </si>
  <si>
    <t>m²</t>
  </si>
  <si>
    <t>4.3</t>
  </si>
  <si>
    <t>4.2</t>
  </si>
  <si>
    <t>2.3</t>
  </si>
  <si>
    <t xml:space="preserve">ORÇAMENTO DISCRIMINATIVO </t>
  </si>
  <si>
    <t>Proponente</t>
  </si>
  <si>
    <t>Nº do Contrato de Repasse - OGU</t>
  </si>
  <si>
    <t>Empreendimento ( Nome/Apelido)</t>
  </si>
  <si>
    <t>Município</t>
  </si>
  <si>
    <t>UF</t>
  </si>
  <si>
    <t>MG</t>
  </si>
  <si>
    <t>Programa</t>
  </si>
  <si>
    <t>Gestor (Ministério)</t>
  </si>
  <si>
    <t>Data-Base (mês de referência)</t>
  </si>
  <si>
    <t>Regime de execução das obras:</t>
  </si>
  <si>
    <t>Composição de BDI Adotada</t>
  </si>
  <si>
    <t>BDI Proposto:</t>
  </si>
  <si>
    <t>Garantia (G)</t>
  </si>
  <si>
    <t xml:space="preserve">De </t>
  </si>
  <si>
    <t>até</t>
  </si>
  <si>
    <t xml:space="preserve">  Garantia:</t>
  </si>
  <si>
    <t xml:space="preserve">Risco (R) </t>
  </si>
  <si>
    <t xml:space="preserve">  Risco:</t>
  </si>
  <si>
    <t>Despesas financeiras (DF)</t>
  </si>
  <si>
    <t xml:space="preserve">  Despesas financeiras:</t>
  </si>
  <si>
    <t>Administração Central (AC)</t>
  </si>
  <si>
    <t xml:space="preserve">  Administração central:</t>
  </si>
  <si>
    <t>Lucro (L)</t>
  </si>
  <si>
    <t xml:space="preserve">  Lucro:</t>
  </si>
  <si>
    <t>Tributos (T)</t>
  </si>
  <si>
    <t xml:space="preserve">  Tributos:</t>
  </si>
  <si>
    <t>DESCRIÇÃO DOS SERVIÇOS</t>
  </si>
  <si>
    <t xml:space="preserve">UN </t>
  </si>
  <si>
    <t>QUANT</t>
  </si>
  <si>
    <t>VALORES (R$)</t>
  </si>
  <si>
    <t>tributos</t>
  </si>
  <si>
    <t>FONTE</t>
  </si>
  <si>
    <t>CUSTO</t>
  </si>
  <si>
    <t>PREÇO</t>
  </si>
  <si>
    <t>iss</t>
  </si>
  <si>
    <t>UNITÁRIO</t>
  </si>
  <si>
    <t>TOTAL ITEM</t>
  </si>
  <si>
    <t>pis</t>
  </si>
  <si>
    <t>cofins</t>
  </si>
  <si>
    <t>SINAPI</t>
  </si>
  <si>
    <t>SUBTOTAL 1</t>
  </si>
  <si>
    <t>SUBTOTAL 2</t>
  </si>
  <si>
    <t>SUBTOTAL 3</t>
  </si>
  <si>
    <t>m</t>
  </si>
  <si>
    <t>SUBTOTAL 4</t>
  </si>
  <si>
    <t>unid.</t>
  </si>
  <si>
    <t>TOTAIS:</t>
  </si>
  <si>
    <t>CUSTO:</t>
  </si>
  <si>
    <t>PREÇO: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</si>
  <si>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</si>
  <si>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 xml:space="preserve">REGULARIZACAO E COMPACTACAO DE SUBLEITO ATE 20 CM DE ESPESSURA </t>
  </si>
  <si>
    <t>BASE DE SOLO - BRITA (50/50), MISTURA EM USINA, COMPACTACAO 100% PROCTOR MODIFICADO, EXCLUSIVE ESCAVACAO, CARGA E TRANSPORTE</t>
  </si>
  <si>
    <t>EMPOLAMENTO %</t>
  </si>
  <si>
    <t>PINTURA DE LIGACAO COM EMULSAO RR-1C</t>
  </si>
  <si>
    <t>PAVIMENTAÇÃO ASFÁLTICA</t>
  </si>
  <si>
    <t>DRENAGEM SUPERFICIAL</t>
  </si>
  <si>
    <t>5.2</t>
  </si>
  <si>
    <t>OBRAS COMPLEMENTARES</t>
  </si>
  <si>
    <t>SERVIÇOS PRELIMINARES</t>
  </si>
  <si>
    <t>Pavimentação Asfáltico em C.B.U.Q. (Concreto Betuminoso Usinado a Quente)</t>
  </si>
  <si>
    <t>2.4</t>
  </si>
  <si>
    <t>2.5</t>
  </si>
  <si>
    <t>2.6</t>
  </si>
  <si>
    <t>2.7</t>
  </si>
  <si>
    <t>SUBTOTAL 5</t>
  </si>
  <si>
    <t>URBANIZAÇÃO</t>
  </si>
  <si>
    <t>Obra: PAVIMENTAÇÃO ASFÁLTICA</t>
  </si>
  <si>
    <t>PLACA DE OBRA EM CHAPA DE ACO GALVANIZADO</t>
  </si>
  <si>
    <t>PREFEITURA MUNICIPAL DE PAPAGAIOS - MG</t>
  </si>
  <si>
    <t>Planejamento Urbano</t>
  </si>
  <si>
    <t>Papagaios</t>
  </si>
  <si>
    <t>LARGURA (sub-leito, Base e Imprimação) (m)</t>
  </si>
  <si>
    <t>LARGURA (pintura e capa) (m)</t>
  </si>
  <si>
    <t>ÁREA DE PAVIMENTAÇÃO (Sub-leito e Base) (m²)</t>
  </si>
  <si>
    <t>ÁREA DE PAVIMENTAÇÃO (imprimação, pintura e capa) (m²)</t>
  </si>
  <si>
    <t>PLACA DE PARE R-1 (unid)</t>
  </si>
  <si>
    <t>PLACA DE IDENTIFICAÇÃO DE RUA (unid)</t>
  </si>
  <si>
    <t>FAIXA DE SINALIZAÇÃO (m2)</t>
  </si>
  <si>
    <t xml:space="preserve">RAMPA ACESSIBILIDADE (unid) </t>
  </si>
  <si>
    <t>MEIO FIO  S/DESC (m)</t>
  </si>
  <si>
    <t xml:space="preserve">MEIO FIO JÁ EXECUTADO </t>
  </si>
  <si>
    <t>EXTENSÃO DOS CRUZAMENTOS SEM MEIO FIO</t>
  </si>
  <si>
    <t>TOTAL MEIO FIO ML</t>
  </si>
  <si>
    <t>SARJETAS S/DESCONTO (m)</t>
  </si>
  <si>
    <t>TOTAL SARJETA</t>
  </si>
  <si>
    <t>EXTENSÃO DOS CRUZAMENTOS SEM SARJETA (m)</t>
  </si>
  <si>
    <t>PASSEIOS (ml)</t>
  </si>
  <si>
    <t>Rua</t>
  </si>
  <si>
    <t>SINALIZACAO HORIZONTAL COM TINTA RETRORREFLETIVA A BASE DE RESINA ACRILICA COM MICROESFERAS DE VIDRO (FAIXA DE PARE, RETENÇÃO E DVISÃO DA PISTA)</t>
  </si>
  <si>
    <t>ASSENTAMENTO DE GUIA (MEIO-FIO) EM TRECHO RETO, CONFECCIONADA EM CONCRETO PRÉ-FABRICADO, DIMENSÕES 100X15X13X30 CM (COMPRIMENTO X BASE INFERIOR X BASE SUPERIOR X ALTURA), PARA VIAS URBANAS (USO VIÁRIO). AF_06/2016</t>
  </si>
  <si>
    <r>
      <t xml:space="preserve"> BDI =</t>
    </r>
    <r>
      <rPr>
        <u/>
        <sz val="11"/>
        <rFont val="Arial"/>
        <family val="2"/>
      </rPr>
      <t xml:space="preserve"> (1+AC+R+G)X(1+DF)x(1+L)</t>
    </r>
    <r>
      <rPr>
        <sz val="11"/>
        <rFont val="Arial"/>
        <family val="2"/>
      </rPr>
      <t xml:space="preserve">)  -1
                                  1-T
  </t>
    </r>
    <r>
      <rPr>
        <u/>
        <sz val="11"/>
        <rFont val="Arial"/>
        <family val="2"/>
      </rPr>
      <t>Observação</t>
    </r>
    <r>
      <rPr>
        <sz val="11"/>
        <rFont val="Arial"/>
        <family val="2"/>
      </rPr>
      <t>:
  i)   Composição do BDI, intervalos admissíveis e Fórmula de cálculo nos termos do Acórdão 2622/2013  do TCU.</t>
    </r>
  </si>
  <si>
    <t>DESCONTOS</t>
  </si>
  <si>
    <t>DE PASSEIOS</t>
  </si>
  <si>
    <t>EXISTENTES</t>
  </si>
  <si>
    <t xml:space="preserve">DATA: </t>
  </si>
  <si>
    <t>PREFEITURA MUNICIPAL DE PAPAGAIOS</t>
  </si>
  <si>
    <t xml:space="preserve">TOTAL DE </t>
  </si>
  <si>
    <t>PASSEIOS</t>
  </si>
  <si>
    <t>MIN</t>
  </si>
  <si>
    <t>MED</t>
  </si>
  <si>
    <t>MAX</t>
  </si>
  <si>
    <t>Construção e Reforma de Edifícios</t>
  </si>
  <si>
    <t>AC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</si>
  <si>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</si>
  <si>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</si>
  <si>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</si>
  <si>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</si>
  <si>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</si>
  <si>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</si>
  <si>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</si>
  <si>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</si>
  <si>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</si>
  <si>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</si>
  <si>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</si>
  <si>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</si>
  <si>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</si>
  <si>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</si>
  <si>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</si>
  <si>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</si>
  <si>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</si>
  <si>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</si>
  <si>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</si>
  <si>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</si>
  <si>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</si>
  <si>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</si>
  <si>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</si>
  <si>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</si>
  <si>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</si>
  <si>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</si>
  <si>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</si>
  <si>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</si>
  <si>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</si>
  <si>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</si>
  <si>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</si>
  <si>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</si>
  <si>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</si>
  <si>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Anexo: Relatório Técnico Circunstanciado justificando a adoção do percentual de cada parcela do BDI.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</si>
  <si>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</si>
  <si>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</si>
  <si>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</si>
  <si>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</si>
  <si>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</si>
  <si>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</si>
  <si>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</si>
  <si>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</si>
  <si>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</si>
  <si>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/>
  </si>
  <si>
    <t>Responsável Técnico</t>
  </si>
  <si>
    <t>Responsável Tomador</t>
  </si>
  <si>
    <t>Nome:</t>
  </si>
  <si>
    <t>MARIO REIS FILGUEIRAS</t>
  </si>
  <si>
    <t>K3</t>
  </si>
  <si>
    <t>Título:</t>
  </si>
  <si>
    <t>Cargo:</t>
  </si>
  <si>
    <t>PREFEITO MUNICIPAL</t>
  </si>
  <si>
    <t>QUADRO COMPOSIÇÃO BDI</t>
  </si>
  <si>
    <t>EMPREITADA POR PREÇO GLOBAL</t>
  </si>
  <si>
    <t>EXECUÇÃO DE PASSEIO (CALÇADA) OU PISO DE CONCRETO COM CONCRETO MOLDADO 
IN LOCO, FEITO EM OBRA, ACABAMENTO CONVENCIONAL, NÃO ARMADO. AF_07/2016</t>
  </si>
  <si>
    <t>PLACA ESMALTADA PARA IDENTIFICAÇÃO NR DE RUA, DIMENSÕES 45X25CM</t>
  </si>
  <si>
    <t>CIDADES</t>
  </si>
  <si>
    <t xml:space="preserve"> SARJETA  DE CONCRETO, FCK=15 MPA, COM 50CM DE LARGURA E 5 CM DE ESPESSURA. PADRÃO DEOP-MG TIPO A (I=3%)</t>
  </si>
  <si>
    <t>FORNECIMENTO E INSTALAÇÃO DE PLACA DE SINALIZAÇÃO VIÁRIA(DIÂMETRO=50CM) COM SUPORTE DE AÇO GALVANIZADO (TUBO DE 50 MM DE DIÂMETRO E COMPRIMENTO TOTAL IGUAL A 3 METROS). INCLUI BASE DE CONCRETO</t>
  </si>
  <si>
    <t>GIGOV-DV</t>
  </si>
  <si>
    <t>RAMPA PARA ACESSO DE DEFICIENTE, EM CONCRETO SIMPLES FCK = 15 MPA, DESEMPENADA, COM PINTURA INDICATIVA, 03 DEMÃOS</t>
  </si>
  <si>
    <t>EXECUÇÃO DE IMPRIMAÇÃO COM ASFALTO DILUÍDO CM-30. AF_09/2017</t>
  </si>
  <si>
    <t>74151/001 ESCAVACAO E CARGA MATERIAL 1A CATEGORIA, UTILIZANDO TRATOR DE ESTEIRAS M3 CR 2,63
DE 110 A 160HP COM LAMINA, PESO OPERACIONAL * 13T E PA CARREGADEIRA
COM 170 HP.</t>
  </si>
  <si>
    <t>EXTENSÃO DOS CRUZAMENTOS SEM PASSEIO (m)</t>
  </si>
  <si>
    <t>TOTAL PASSEIO</t>
  </si>
  <si>
    <t>COMPOSIÇÃO</t>
  </si>
  <si>
    <t>XXXX</t>
  </si>
  <si>
    <t>VASCO LOPES</t>
  </si>
  <si>
    <t>LEVINDO VALADARES</t>
  </si>
  <si>
    <t>DOMINGOS VALADARES</t>
  </si>
  <si>
    <t>95990 CONSTRUÇÃO DE PAVIMENTO COM APLICAÇÃO DE CONCRETO BETUMINOSO USINADO A M3 AS 1.070,55
QUENTE (CBUQ), CAMADA DE ROLAMENTO, COM ESPESSURA DE 3,0 CM - EXCLUSIVE TRANSPORTE. AF_03/2017</t>
  </si>
  <si>
    <t>97915 TRANSPORTE COM CAMINHÃO BASCULANTE DE 6 M3, EM VIA URBANA PAVIMENTADA, M3XKM CR 1,12
DMT ACIMA DE 30 KM (UNIDADE: M3XKM). AF_01/2018</t>
  </si>
  <si>
    <t>95303 TRANSPORTE COM CAMINHÃO BASCULANTE 10 M3 DE MASSA ASFALTICA PARA PAVIM M3XKM CR 1,02
ENTAÇÃO URBANA</t>
  </si>
  <si>
    <t>M³Xkm</t>
  </si>
  <si>
    <t>m3</t>
  </si>
  <si>
    <t>CRISTINO CÂNDIDO PINTO</t>
  </si>
  <si>
    <t>9,0/7,80</t>
  </si>
  <si>
    <t>152,80/9,80</t>
  </si>
  <si>
    <t>8,0/6,80</t>
  </si>
  <si>
    <t>Local: DIVERSAS RUAS - BAIRRO VASCO LOPES</t>
  </si>
  <si>
    <t>DATA: 13/01/2020</t>
  </si>
  <si>
    <t xml:space="preserve">Responsável Técnico:KARINA ERICA DE OLIVEIRA </t>
  </si>
  <si>
    <t>CAU A42262-2</t>
  </si>
  <si>
    <t xml:space="preserve">RT:KARINA ERICA DE OLIVEIRA </t>
  </si>
  <si>
    <t>_________________________________</t>
  </si>
  <si>
    <t>25,08/70,88/8,84</t>
  </si>
  <si>
    <t>8,10/9,30/7,10</t>
  </si>
  <si>
    <t>7,10/8,30/6,10</t>
  </si>
  <si>
    <t>SARJETA DE CONCRETO URBANO (SCU), TIPO 1, COM FCK 15 MPA, LARGURA DE 50CM COM INCLINAÇÃO DE 3%, ESP. 7CM, PADRÃO DEER-MG, EXCLUSIVE MEIO-FIO, INCLUSIVE ESCAVAÇÃO, APILAOMENTO E TRANSPORTE COM RETIRADA DO MATERIAL ESCAVADO (EM CAÇAMBA)</t>
  </si>
  <si>
    <t>ED-14762</t>
  </si>
  <si>
    <t>SETOP</t>
  </si>
  <si>
    <t>CRONOGRAMA FISICO - FINANCEIRO</t>
  </si>
  <si>
    <t>PREFEITURA: PREFEITURA MUNICIPAL DE PAPAGAIOS</t>
  </si>
  <si>
    <t>REGIÃO/MÊS DE REFERÊNCIA: JULHO 2017</t>
  </si>
  <si>
    <t>PRAZO DE EXECUÇÃO: 3 MESES</t>
  </si>
  <si>
    <t>IT</t>
  </si>
  <si>
    <t>ESPECIFICAÇÃO/SERVIÇOS</t>
  </si>
  <si>
    <t>VALOR TOTAL</t>
  </si>
  <si>
    <t>% TOTAL</t>
  </si>
  <si>
    <t>FIS</t>
  </si>
  <si>
    <t>MESES SEQUENCIAIS</t>
  </si>
  <si>
    <t>DOS ITENS R$</t>
  </si>
  <si>
    <t>DOS ITENS</t>
  </si>
  <si>
    <t>FIN</t>
  </si>
  <si>
    <t>01</t>
  </si>
  <si>
    <t>02</t>
  </si>
  <si>
    <t>03</t>
  </si>
  <si>
    <t>04</t>
  </si>
  <si>
    <t xml:space="preserve">TOTAL GERAL R$ </t>
  </si>
  <si>
    <t>% DO MÊS</t>
  </si>
  <si>
    <t>TOTAL ACUMULADO R$</t>
  </si>
  <si>
    <t xml:space="preserve">% ACUMULADO </t>
  </si>
  <si>
    <t>Ass. Representante Legal</t>
  </si>
  <si>
    <t xml:space="preserve">KARINA ERICA DE OLIVEIRA </t>
  </si>
  <si>
    <t>LOCAL: RUAS DIVERSAS BAIRRO VASCO LOPES PAPAGAIOS MG</t>
  </si>
  <si>
    <t xml:space="preserve">PAVIMENTAÇAO ASFALTICA </t>
  </si>
  <si>
    <t>DRENAGEM SUPERCIAL</t>
  </si>
  <si>
    <t xml:space="preserve">OBRAS COMPLEMENTARES </t>
  </si>
  <si>
    <t>05</t>
  </si>
  <si>
    <t>URBANIZAÇAO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</si>
</sst>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_);_(* \(#,##0.000\);_(* &quot;-&quot;??_);_(@_)"/>
    <numFmt numFmtId="167" formatCode="_(* #,##0.000000000_);_(* \(#,##0.000000000\);_(* &quot;-&quot;??_);_(@_)"/>
    <numFmt numFmtId="168" formatCode="[$-416]mmmm\-yyyy;@"/>
    <numFmt numFmtId="169" formatCode="#,##0.00_ ;\-#,##0.00\ "/>
    <numFmt numFmtId="170" formatCode="General;General;"/>
    <numFmt numFmtId="171" formatCode="[$-F800]dddd\,\ mmmm\ dd\,\ yyyy"/>
    <numFmt numFmtId="172" formatCode="dd\ &quot;de&quot;\ mmmm\ &quot;de&quot;\ yyyy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4"/>
      <name val="Arial"/>
      <family val="2"/>
    </font>
    <font>
      <sz val="9"/>
      <name val="Arial"/>
      <family val="2"/>
    </font>
    <font>
      <sz val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rgb="FF222222"/>
      <name val="Times New Roman"/>
      <family val="1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5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0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b/>
      <sz val="10"/>
      <name val="Times New Roman"/>
      <family val="1"/>
    </font>
    <font>
      <sz val="9"/>
      <color indexed="8"/>
      <name val="Times New Roman"/>
      <family val="1"/>
    </font>
    <font>
      <sz val="9"/>
      <name val="Tahoma"/>
      <family val="2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1" fillId="0" borderId="0"/>
  </cellStyleXfs>
  <cellXfs count="70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165" fontId="0" fillId="0" borderId="0" xfId="5" applyFont="1" applyFill="1" applyBorder="1" applyAlignment="1">
      <alignment vertical="center"/>
    </xf>
    <xf numFmtId="165" fontId="2" fillId="6" borderId="12" xfId="5" applyFont="1" applyFill="1" applyBorder="1" applyAlignment="1">
      <alignment vertical="center"/>
    </xf>
    <xf numFmtId="165" fontId="0" fillId="0" borderId="0" xfId="0" applyNumberFormat="1"/>
    <xf numFmtId="165" fontId="13" fillId="0" borderId="0" xfId="5" applyFont="1" applyAlignment="1">
      <alignment vertical="center"/>
    </xf>
    <xf numFmtId="165" fontId="2" fillId="7" borderId="10" xfId="5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2" fillId="7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165" fontId="0" fillId="0" borderId="10" xfId="5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15" xfId="5" applyFon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2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165" fontId="2" fillId="6" borderId="10" xfId="5" applyFon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2" fillId="8" borderId="21" xfId="0" applyNumberFormat="1" applyFont="1" applyFill="1" applyBorder="1"/>
    <xf numFmtId="165" fontId="2" fillId="0" borderId="10" xfId="5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12" xfId="5" applyFont="1" applyFill="1" applyBorder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Continuous" vertical="center"/>
    </xf>
    <xf numFmtId="0" fontId="7" fillId="6" borderId="13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horizontal="left" vertical="center"/>
    </xf>
    <xf numFmtId="10" fontId="7" fillId="6" borderId="30" xfId="0" applyNumberFormat="1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left" vertical="center"/>
    </xf>
    <xf numFmtId="10" fontId="7" fillId="6" borderId="32" xfId="0" applyNumberFormat="1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horizontal="left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10" fontId="7" fillId="0" borderId="10" xfId="3" applyNumberFormat="1" applyFont="1" applyBorder="1" applyAlignment="1" applyProtection="1">
      <alignment vertical="center"/>
    </xf>
    <xf numFmtId="0" fontId="8" fillId="3" borderId="28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3" borderId="29" xfId="0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5" fontId="2" fillId="0" borderId="11" xfId="5" applyFont="1" applyFill="1" applyBorder="1" applyAlignment="1">
      <alignment vertical="center"/>
    </xf>
    <xf numFmtId="43" fontId="7" fillId="0" borderId="0" xfId="0" applyNumberFormat="1" applyFont="1" applyAlignment="1" applyProtection="1">
      <alignment vertical="center"/>
    </xf>
    <xf numFmtId="43" fontId="7" fillId="0" borderId="0" xfId="0" applyNumberFormat="1" applyFont="1" applyBorder="1" applyAlignment="1" applyProtection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4" fillId="6" borderId="10" xfId="5" applyFont="1" applyFill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vertical="center" wrapText="1"/>
    </xf>
    <xf numFmtId="165" fontId="2" fillId="6" borderId="11" xfId="5" applyFont="1" applyFill="1" applyBorder="1" applyAlignment="1">
      <alignment vertical="center"/>
    </xf>
    <xf numFmtId="166" fontId="2" fillId="6" borderId="10" xfId="5" applyNumberFormat="1" applyFont="1" applyFill="1" applyBorder="1" applyAlignment="1">
      <alignment vertical="center"/>
    </xf>
    <xf numFmtId="165" fontId="2" fillId="6" borderId="24" xfId="5" applyFont="1" applyFill="1" applyBorder="1" applyAlignment="1">
      <alignment vertical="center"/>
    </xf>
    <xf numFmtId="165" fontId="2" fillId="6" borderId="14" xfId="5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5" fillId="0" borderId="0" xfId="0" applyFont="1"/>
    <xf numFmtId="43" fontId="0" fillId="0" borderId="0" xfId="0" applyNumberFormat="1"/>
    <xf numFmtId="0" fontId="1" fillId="0" borderId="0" xfId="0" applyFont="1"/>
    <xf numFmtId="2" fontId="4" fillId="6" borderId="10" xfId="5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2" fontId="4" fillId="6" borderId="11" xfId="5" applyNumberFormat="1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165" fontId="1" fillId="6" borderId="10" xfId="5" applyFont="1" applyFill="1" applyBorder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65" fontId="1" fillId="9" borderId="10" xfId="5" applyFont="1" applyFill="1" applyBorder="1" applyAlignment="1">
      <alignment vertical="center"/>
    </xf>
    <xf numFmtId="0" fontId="0" fillId="9" borderId="10" xfId="0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1" fillId="6" borderId="10" xfId="5" applyNumberFormat="1" applyFont="1" applyFill="1" applyBorder="1" applyAlignment="1">
      <alignment vertical="center"/>
    </xf>
    <xf numFmtId="2" fontId="1" fillId="6" borderId="10" xfId="5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2" fontId="1" fillId="6" borderId="11" xfId="5" applyNumberFormat="1" applyFont="1" applyFill="1" applyBorder="1" applyAlignment="1">
      <alignment horizontal="center" vertical="center"/>
    </xf>
    <xf numFmtId="165" fontId="1" fillId="9" borderId="11" xfId="5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6" fillId="6" borderId="70" xfId="0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6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/>
    </xf>
    <xf numFmtId="0" fontId="16" fillId="9" borderId="10" xfId="0" applyFont="1" applyFill="1" applyBorder="1" applyAlignment="1"/>
    <xf numFmtId="165" fontId="2" fillId="6" borderId="21" xfId="0" applyNumberFormat="1" applyFont="1" applyFill="1" applyBorder="1"/>
    <xf numFmtId="165" fontId="2" fillId="6" borderId="10" xfId="0" applyNumberFormat="1" applyFont="1" applyFill="1" applyBorder="1"/>
    <xf numFmtId="0" fontId="7" fillId="6" borderId="35" xfId="0" applyFont="1" applyFill="1" applyBorder="1" applyAlignment="1" applyProtection="1">
      <alignment horizontal="right" vertical="center"/>
    </xf>
    <xf numFmtId="9" fontId="7" fillId="6" borderId="35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1" fillId="9" borderId="1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2" fontId="8" fillId="0" borderId="1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left" vertical="center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" fillId="0" borderId="0" xfId="8" applyFont="1" applyProtection="1"/>
    <xf numFmtId="0" fontId="2" fillId="0" borderId="0" xfId="8" applyFont="1" applyAlignment="1" applyProtection="1">
      <alignment horizontal="center"/>
    </xf>
    <xf numFmtId="0" fontId="3" fillId="0" borderId="0" xfId="8" applyFont="1" applyAlignment="1" applyProtection="1">
      <alignment horizontal="center"/>
    </xf>
    <xf numFmtId="0" fontId="2" fillId="0" borderId="10" xfId="8" applyFont="1" applyBorder="1" applyAlignment="1" applyProtection="1">
      <alignment horizontal="center"/>
    </xf>
    <xf numFmtId="10" fontId="23" fillId="0" borderId="10" xfId="8" applyNumberFormat="1" applyFont="1" applyFill="1" applyBorder="1" applyAlignment="1" applyProtection="1">
      <alignment horizontal="center"/>
    </xf>
    <xf numFmtId="0" fontId="24" fillId="0" borderId="0" xfId="8" applyFont="1" applyAlignment="1" applyProtection="1"/>
    <xf numFmtId="0" fontId="2" fillId="0" borderId="0" xfId="8" applyFont="1" applyProtection="1"/>
    <xf numFmtId="0" fontId="2" fillId="0" borderId="10" xfId="8" applyFont="1" applyFill="1" applyBorder="1" applyAlignment="1" applyProtection="1">
      <alignment horizontal="center" vertical="center" wrapText="1"/>
    </xf>
    <xf numFmtId="0" fontId="19" fillId="0" borderId="10" xfId="8" applyFont="1" applyBorder="1" applyAlignment="1" applyProtection="1">
      <alignment horizontal="center" vertical="center"/>
    </xf>
    <xf numFmtId="10" fontId="19" fillId="12" borderId="10" xfId="8" applyNumberFormat="1" applyFont="1" applyFill="1" applyBorder="1" applyAlignment="1" applyProtection="1">
      <alignment horizontal="center" vertical="center"/>
      <protection locked="0"/>
    </xf>
    <xf numFmtId="4" fontId="6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 wrapText="1"/>
    </xf>
    <xf numFmtId="0" fontId="19" fillId="0" borderId="10" xfId="8" applyFont="1" applyFill="1" applyBorder="1" applyAlignment="1" applyProtection="1">
      <alignment horizontal="center" vertical="center" wrapText="1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10" fontId="25" fillId="0" borderId="0" xfId="8" applyNumberFormat="1" applyFont="1" applyFill="1" applyBorder="1" applyAlignment="1" applyProtection="1">
      <alignment horizontal="center" vertical="center"/>
    </xf>
    <xf numFmtId="4" fontId="6" fillId="0" borderId="0" xfId="8" applyNumberFormat="1" applyFont="1" applyFill="1" applyBorder="1" applyAlignment="1" applyProtection="1">
      <alignment horizontal="center" vertical="center" wrapText="1"/>
    </xf>
    <xf numFmtId="0" fontId="27" fillId="0" borderId="10" xfId="8" applyFont="1" applyBorder="1" applyAlignment="1" applyProtection="1">
      <alignment horizontal="center" vertical="center"/>
    </xf>
    <xf numFmtId="0" fontId="1" fillId="0" borderId="0" xfId="8" applyFont="1" applyBorder="1" applyAlignment="1" applyProtection="1">
      <alignment horizontal="center" vertical="top"/>
    </xf>
    <xf numFmtId="0" fontId="31" fillId="0" borderId="0" xfId="8" applyFont="1" applyBorder="1" applyAlignment="1" applyProtection="1">
      <alignment horizontal="center" vertical="top"/>
    </xf>
    <xf numFmtId="172" fontId="1" fillId="0" borderId="0" xfId="8" applyNumberFormat="1" applyFont="1" applyAlignment="1" applyProtection="1"/>
    <xf numFmtId="0" fontId="2" fillId="0" borderId="27" xfId="8" applyFont="1" applyBorder="1" applyAlignment="1" applyProtection="1">
      <alignment horizontal="left"/>
    </xf>
    <xf numFmtId="0" fontId="1" fillId="0" borderId="27" xfId="8" applyFont="1" applyBorder="1" applyProtection="1"/>
    <xf numFmtId="0" fontId="19" fillId="0" borderId="0" xfId="8" applyFont="1" applyBorder="1" applyProtection="1"/>
    <xf numFmtId="0" fontId="1" fillId="0" borderId="0" xfId="8" applyFont="1" applyBorder="1" applyProtection="1"/>
    <xf numFmtId="0" fontId="2" fillId="0" borderId="0" xfId="11" applyFont="1" applyBorder="1" applyAlignment="1" applyProtection="1">
      <alignment horizontal="left" vertical="top"/>
    </xf>
    <xf numFmtId="0" fontId="19" fillId="0" borderId="0" xfId="8" applyFont="1" applyProtection="1"/>
    <xf numFmtId="0" fontId="7" fillId="6" borderId="27" xfId="0" applyFont="1" applyFill="1" applyBorder="1" applyAlignment="1" applyProtection="1">
      <alignment horizontal="left" vertical="center"/>
    </xf>
    <xf numFmtId="0" fontId="7" fillId="6" borderId="27" xfId="0" applyFont="1" applyFill="1" applyBorder="1" applyAlignment="1" applyProtection="1">
      <alignment vertical="center"/>
    </xf>
    <xf numFmtId="0" fontId="7" fillId="6" borderId="29" xfId="0" applyFont="1" applyFill="1" applyBorder="1" applyAlignment="1" applyProtection="1">
      <alignment horizontal="left" vertical="center"/>
    </xf>
    <xf numFmtId="0" fontId="7" fillId="6" borderId="29" xfId="0" applyFont="1" applyFill="1" applyBorder="1" applyAlignment="1" applyProtection="1">
      <alignment vertical="center"/>
    </xf>
    <xf numFmtId="0" fontId="21" fillId="6" borderId="2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2" fontId="2" fillId="13" borderId="10" xfId="0" applyNumberFormat="1" applyFont="1" applyFill="1" applyBorder="1" applyAlignment="1">
      <alignment vertical="center" wrapText="1"/>
    </xf>
    <xf numFmtId="0" fontId="0" fillId="6" borderId="0" xfId="0" applyFill="1" applyBorder="1" applyAlignment="1" applyProtection="1">
      <alignment vertical="center"/>
    </xf>
    <xf numFmtId="0" fontId="0" fillId="6" borderId="27" xfId="0" applyFill="1" applyBorder="1" applyAlignment="1" applyProtection="1">
      <alignment vertical="center"/>
    </xf>
    <xf numFmtId="0" fontId="1" fillId="6" borderId="27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vertical="center"/>
    </xf>
    <xf numFmtId="0" fontId="7" fillId="6" borderId="18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7" fillId="6" borderId="63" xfId="0" applyFont="1" applyFill="1" applyBorder="1" applyAlignment="1" applyProtection="1">
      <alignment horizontal="left" vertical="center"/>
    </xf>
    <xf numFmtId="0" fontId="7" fillId="6" borderId="73" xfId="0" applyFont="1" applyFill="1" applyBorder="1" applyAlignment="1" applyProtection="1">
      <alignment vertical="center"/>
    </xf>
    <xf numFmtId="0" fontId="7" fillId="6" borderId="54" xfId="0" applyFont="1" applyFill="1" applyBorder="1" applyAlignment="1" applyProtection="1">
      <alignment horizontal="left" vertical="center"/>
    </xf>
    <xf numFmtId="0" fontId="7" fillId="6" borderId="72" xfId="0" applyFont="1" applyFill="1" applyBorder="1" applyAlignment="1" applyProtection="1">
      <alignment vertical="center"/>
    </xf>
    <xf numFmtId="0" fontId="7" fillId="6" borderId="74" xfId="0" applyFont="1" applyFill="1" applyBorder="1" applyAlignment="1" applyProtection="1">
      <alignment horizontal="left" vertical="center"/>
    </xf>
    <xf numFmtId="0" fontId="7" fillId="6" borderId="75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11" fillId="11" borderId="42" xfId="0" applyFont="1" applyFill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11" fillId="11" borderId="75" xfId="0" applyFont="1" applyFill="1" applyBorder="1" applyAlignment="1" applyProtection="1">
      <alignment vertical="center"/>
      <protection locked="0"/>
    </xf>
    <xf numFmtId="0" fontId="0" fillId="6" borderId="63" xfId="0" applyFill="1" applyBorder="1" applyAlignment="1" applyProtection="1">
      <alignment vertical="center"/>
    </xf>
    <xf numFmtId="0" fontId="0" fillId="6" borderId="73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6" borderId="83" xfId="0" applyFill="1" applyBorder="1" applyAlignment="1" applyProtection="1">
      <alignment vertical="center"/>
    </xf>
    <xf numFmtId="0" fontId="8" fillId="9" borderId="42" xfId="0" applyFont="1" applyFill="1" applyBorder="1" applyAlignment="1" applyProtection="1">
      <alignment horizontal="center" vertical="center"/>
      <protection locked="0"/>
    </xf>
    <xf numFmtId="0" fontId="8" fillId="9" borderId="51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165" fontId="2" fillId="14" borderId="10" xfId="5" applyFont="1" applyFill="1" applyBorder="1" applyAlignment="1">
      <alignment vertical="center"/>
    </xf>
    <xf numFmtId="165" fontId="22" fillId="14" borderId="10" xfId="5" applyFont="1" applyFill="1" applyBorder="1" applyAlignment="1">
      <alignment vertical="center"/>
    </xf>
    <xf numFmtId="165" fontId="2" fillId="9" borderId="10" xfId="5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 wrapText="1"/>
    </xf>
    <xf numFmtId="166" fontId="2" fillId="9" borderId="10" xfId="5" applyNumberFormat="1" applyFont="1" applyFill="1" applyBorder="1" applyAlignment="1">
      <alignment vertical="center"/>
    </xf>
    <xf numFmtId="165" fontId="2" fillId="9" borderId="12" xfId="5" applyFont="1" applyFill="1" applyBorder="1" applyAlignment="1">
      <alignment vertical="center"/>
    </xf>
    <xf numFmtId="0" fontId="2" fillId="9" borderId="14" xfId="0" applyFont="1" applyFill="1" applyBorder="1" applyAlignment="1">
      <alignment vertical="center" wrapText="1"/>
    </xf>
    <xf numFmtId="165" fontId="2" fillId="9" borderId="14" xfId="5" applyFont="1" applyFill="1" applyBorder="1" applyAlignment="1">
      <alignment vertical="center"/>
    </xf>
    <xf numFmtId="165" fontId="2" fillId="9" borderId="11" xfId="5" applyFont="1" applyFill="1" applyBorder="1" applyAlignment="1">
      <alignment vertical="center"/>
    </xf>
    <xf numFmtId="165" fontId="2" fillId="9" borderId="23" xfId="5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vertical="center" wrapText="1"/>
      <protection locked="0"/>
    </xf>
    <xf numFmtId="0" fontId="8" fillId="9" borderId="10" xfId="0" applyFont="1" applyFill="1" applyBorder="1" applyAlignment="1" applyProtection="1">
      <alignment vertical="center" wrapText="1"/>
      <protection locked="0"/>
    </xf>
    <xf numFmtId="0" fontId="2" fillId="9" borderId="10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4" fontId="2" fillId="9" borderId="1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4" fillId="3" borderId="63" xfId="0" applyFont="1" applyFill="1" applyBorder="1" applyAlignment="1" applyProtection="1">
      <alignment vertical="center"/>
    </xf>
    <xf numFmtId="0" fontId="34" fillId="3" borderId="27" xfId="0" applyFont="1" applyFill="1" applyBorder="1" applyAlignment="1" applyProtection="1">
      <alignment vertical="center"/>
    </xf>
    <xf numFmtId="0" fontId="17" fillId="3" borderId="36" xfId="0" applyFont="1" applyFill="1" applyBorder="1" applyAlignment="1" applyProtection="1">
      <alignment horizontal="right" vertical="center"/>
    </xf>
    <xf numFmtId="0" fontId="2" fillId="6" borderId="16" xfId="0" applyFon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>
      <alignment horizontal="center" vertical="center" wrapText="1"/>
    </xf>
    <xf numFmtId="165" fontId="2" fillId="8" borderId="11" xfId="5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0" fontId="0" fillId="6" borderId="20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6" borderId="85" xfId="0" applyFont="1" applyFill="1" applyBorder="1" applyAlignment="1">
      <alignment horizontal="center" vertical="center"/>
    </xf>
    <xf numFmtId="165" fontId="2" fillId="9" borderId="68" xfId="0" applyNumberFormat="1" applyFont="1" applyFill="1" applyBorder="1"/>
    <xf numFmtId="0" fontId="6" fillId="6" borderId="70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6" fillId="6" borderId="10" xfId="0" applyFont="1" applyFill="1" applyBorder="1" applyAlignment="1"/>
    <xf numFmtId="2" fontId="1" fillId="6" borderId="10" xfId="0" applyNumberFormat="1" applyFont="1" applyFill="1" applyBorder="1" applyAlignment="1">
      <alignment horizontal="center"/>
    </xf>
    <xf numFmtId="2" fontId="22" fillId="6" borderId="10" xfId="5" applyNumberFormat="1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14" fontId="6" fillId="6" borderId="3" xfId="0" applyNumberFormat="1" applyFont="1" applyFill="1" applyBorder="1" applyAlignment="1">
      <alignment horizontal="right" vertical="center"/>
    </xf>
    <xf numFmtId="4" fontId="14" fillId="0" borderId="0" xfId="5" applyNumberFormat="1" applyFont="1" applyFill="1" applyBorder="1" applyAlignment="1" applyProtection="1">
      <alignment horizontal="right" vertical="center"/>
      <protection locked="0"/>
    </xf>
    <xf numFmtId="49" fontId="7" fillId="11" borderId="32" xfId="0" quotePrefix="1" applyNumberFormat="1" applyFont="1" applyFill="1" applyBorder="1" applyAlignment="1" applyProtection="1">
      <alignment horizontal="center" vertical="center" wrapText="1"/>
      <protection locked="0"/>
    </xf>
    <xf numFmtId="49" fontId="7" fillId="11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32" xfId="0" applyFont="1" applyFill="1" applyBorder="1" applyAlignment="1" applyProtection="1">
      <alignment horizontal="left" vertical="center" wrapText="1"/>
      <protection locked="0"/>
    </xf>
    <xf numFmtId="0" fontId="7" fillId="11" borderId="33" xfId="0" applyFont="1" applyFill="1" applyBorder="1" applyAlignment="1" applyProtection="1">
      <alignment horizontal="left" vertical="center" wrapText="1"/>
      <protection locked="0"/>
    </xf>
    <xf numFmtId="0" fontId="7" fillId="11" borderId="39" xfId="0" applyFont="1" applyFill="1" applyBorder="1" applyAlignment="1" applyProtection="1">
      <alignment horizontal="left" vertical="center" wrapText="1"/>
      <protection locked="0"/>
    </xf>
    <xf numFmtId="0" fontId="32" fillId="11" borderId="32" xfId="0" applyFont="1" applyFill="1" applyBorder="1" applyAlignment="1" applyProtection="1">
      <alignment horizontal="center" vertical="center"/>
      <protection locked="0"/>
    </xf>
    <xf numFmtId="0" fontId="32" fillId="11" borderId="39" xfId="0" applyFont="1" applyFill="1" applyBorder="1" applyAlignment="1" applyProtection="1">
      <alignment horizontal="center" vertical="center"/>
      <protection locked="0"/>
    </xf>
    <xf numFmtId="4" fontId="7" fillId="11" borderId="32" xfId="0" applyNumberFormat="1" applyFont="1" applyFill="1" applyBorder="1" applyAlignment="1" applyProtection="1">
      <alignment horizontal="right" vertical="center"/>
    </xf>
    <xf numFmtId="4" fontId="7" fillId="11" borderId="33" xfId="0" applyNumberFormat="1" applyFont="1" applyFill="1" applyBorder="1" applyAlignment="1" applyProtection="1">
      <alignment horizontal="right" vertical="center"/>
    </xf>
    <xf numFmtId="4" fontId="7" fillId="11" borderId="39" xfId="0" applyNumberFormat="1" applyFont="1" applyFill="1" applyBorder="1" applyAlignment="1" applyProtection="1">
      <alignment horizontal="right" vertical="center"/>
    </xf>
    <xf numFmtId="4" fontId="18" fillId="0" borderId="32" xfId="5" applyNumberFormat="1" applyFont="1" applyFill="1" applyBorder="1" applyAlignment="1" applyProtection="1">
      <alignment horizontal="right" vertical="center"/>
      <protection locked="0"/>
    </xf>
    <xf numFmtId="4" fontId="18" fillId="0" borderId="33" xfId="5" applyNumberFormat="1" applyFont="1" applyFill="1" applyBorder="1" applyAlignment="1" applyProtection="1">
      <alignment horizontal="right" vertical="center"/>
      <protection locked="0"/>
    </xf>
    <xf numFmtId="4" fontId="18" fillId="0" borderId="39" xfId="5" applyNumberFormat="1" applyFont="1" applyFill="1" applyBorder="1" applyAlignment="1" applyProtection="1">
      <alignment horizontal="right" vertical="center"/>
      <protection locked="0"/>
    </xf>
    <xf numFmtId="4" fontId="18" fillId="9" borderId="44" xfId="5" applyNumberFormat="1" applyFont="1" applyFill="1" applyBorder="1" applyAlignment="1" applyProtection="1">
      <alignment horizontal="right" vertical="center"/>
      <protection locked="0"/>
    </xf>
    <xf numFmtId="4" fontId="18" fillId="9" borderId="45" xfId="5" applyNumberFormat="1" applyFont="1" applyFill="1" applyBorder="1" applyAlignment="1" applyProtection="1">
      <alignment horizontal="right" vertical="center"/>
      <protection locked="0"/>
    </xf>
    <xf numFmtId="4" fontId="18" fillId="9" borderId="46" xfId="5" applyNumberFormat="1" applyFont="1" applyFill="1" applyBorder="1" applyAlignment="1" applyProtection="1">
      <alignment horizontal="right" vertical="center"/>
      <protection locked="0"/>
    </xf>
    <xf numFmtId="4" fontId="18" fillId="0" borderId="23" xfId="5" applyNumberFormat="1" applyFont="1" applyFill="1" applyBorder="1" applyAlignment="1" applyProtection="1">
      <alignment horizontal="right" vertical="center"/>
      <protection locked="0"/>
    </xf>
    <xf numFmtId="4" fontId="7" fillId="0" borderId="44" xfId="5" applyNumberFormat="1" applyFont="1" applyFill="1" applyBorder="1" applyAlignment="1" applyProtection="1">
      <alignment horizontal="right" vertical="center"/>
    </xf>
    <xf numFmtId="4" fontId="7" fillId="0" borderId="45" xfId="5" applyNumberFormat="1" applyFont="1" applyFill="1" applyBorder="1" applyAlignment="1" applyProtection="1">
      <alignment horizontal="right" vertical="center"/>
    </xf>
    <xf numFmtId="4" fontId="7" fillId="0" borderId="47" xfId="5" applyNumberFormat="1" applyFont="1" applyFill="1" applyBorder="1" applyAlignment="1" applyProtection="1">
      <alignment horizontal="right" vertical="center"/>
    </xf>
    <xf numFmtId="4" fontId="11" fillId="5" borderId="42" xfId="5" applyNumberFormat="1" applyFont="1" applyFill="1" applyBorder="1" applyAlignment="1" applyProtection="1">
      <alignment horizontal="right" vertical="center"/>
    </xf>
    <xf numFmtId="4" fontId="11" fillId="5" borderId="23" xfId="5" applyNumberFormat="1" applyFont="1" applyFill="1" applyBorder="1" applyAlignment="1" applyProtection="1">
      <alignment horizontal="right" vertical="center"/>
    </xf>
    <xf numFmtId="4" fontId="19" fillId="5" borderId="23" xfId="5" applyNumberFormat="1" applyFont="1" applyFill="1" applyBorder="1" applyAlignment="1" applyProtection="1">
      <alignment horizontal="right" vertical="center"/>
    </xf>
    <xf numFmtId="4" fontId="19" fillId="5" borderId="80" xfId="5" applyNumberFormat="1" applyFont="1" applyFill="1" applyBorder="1" applyAlignment="1" applyProtection="1">
      <alignment horizontal="right" vertical="center"/>
    </xf>
    <xf numFmtId="4" fontId="7" fillId="9" borderId="44" xfId="5" applyNumberFormat="1" applyFont="1" applyFill="1" applyBorder="1" applyAlignment="1" applyProtection="1">
      <alignment horizontal="right" vertical="center"/>
    </xf>
    <xf numFmtId="4" fontId="7" fillId="9" borderId="45" xfId="5" applyNumberFormat="1" applyFont="1" applyFill="1" applyBorder="1" applyAlignment="1" applyProtection="1">
      <alignment horizontal="right" vertical="center"/>
    </xf>
    <xf numFmtId="4" fontId="7" fillId="9" borderId="47" xfId="5" applyNumberFormat="1" applyFont="1" applyFill="1" applyBorder="1" applyAlignment="1" applyProtection="1">
      <alignment horizontal="right" vertical="center"/>
    </xf>
    <xf numFmtId="4" fontId="11" fillId="9" borderId="42" xfId="5" applyNumberFormat="1" applyFont="1" applyFill="1" applyBorder="1" applyAlignment="1" applyProtection="1">
      <alignment horizontal="right" vertical="center"/>
    </xf>
    <xf numFmtId="4" fontId="11" fillId="9" borderId="23" xfId="5" applyNumberFormat="1" applyFont="1" applyFill="1" applyBorder="1" applyAlignment="1" applyProtection="1">
      <alignment horizontal="right" vertical="center"/>
    </xf>
    <xf numFmtId="0" fontId="7" fillId="6" borderId="32" xfId="0" applyNumberFormat="1" applyFont="1" applyFill="1" applyBorder="1" applyAlignment="1" applyProtection="1">
      <alignment horizontal="center" vertical="center"/>
      <protection locked="0"/>
    </xf>
    <xf numFmtId="0" fontId="11" fillId="6" borderId="39" xfId="0" applyNumberFormat="1" applyFont="1" applyFill="1" applyBorder="1" applyAlignment="1" applyProtection="1">
      <alignment horizontal="center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19" fillId="9" borderId="23" xfId="5" applyNumberFormat="1" applyFont="1" applyFill="1" applyBorder="1" applyAlignment="1" applyProtection="1">
      <alignment horizontal="right" vertical="center"/>
    </xf>
    <xf numFmtId="4" fontId="19" fillId="9" borderId="80" xfId="5" applyNumberFormat="1" applyFont="1" applyFill="1" applyBorder="1" applyAlignment="1" applyProtection="1">
      <alignment horizontal="right" vertical="center"/>
    </xf>
    <xf numFmtId="0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9" borderId="32" xfId="0" applyNumberFormat="1" applyFont="1" applyFill="1" applyBorder="1" applyAlignment="1" applyProtection="1">
      <alignment horizontal="center" vertical="center"/>
      <protection locked="0"/>
    </xf>
    <xf numFmtId="0" fontId="11" fillId="9" borderId="39" xfId="0" applyNumberFormat="1" applyFont="1" applyFill="1" applyBorder="1" applyAlignment="1" applyProtection="1">
      <alignment horizontal="center" vertical="center"/>
      <protection locked="0"/>
    </xf>
    <xf numFmtId="49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9" xfId="0" applyNumberFormat="1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left" vertical="center" wrapText="1"/>
      <protection locked="0"/>
    </xf>
    <xf numFmtId="0" fontId="8" fillId="9" borderId="33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32" fillId="9" borderId="32" xfId="0" applyFont="1" applyFill="1" applyBorder="1" applyAlignment="1" applyProtection="1">
      <alignment horizontal="center" vertical="center"/>
      <protection locked="0"/>
    </xf>
    <xf numFmtId="0" fontId="32" fillId="9" borderId="39" xfId="0" applyFont="1" applyFill="1" applyBorder="1" applyAlignment="1" applyProtection="1">
      <alignment horizontal="center" vertical="center"/>
      <protection locked="0"/>
    </xf>
    <xf numFmtId="4" fontId="11" fillId="9" borderId="32" xfId="0" applyNumberFormat="1" applyFont="1" applyFill="1" applyBorder="1" applyAlignment="1" applyProtection="1">
      <alignment horizontal="right" vertical="center"/>
      <protection locked="0"/>
    </xf>
    <xf numFmtId="4" fontId="11" fillId="9" borderId="33" xfId="0" applyNumberFormat="1" applyFont="1" applyFill="1" applyBorder="1" applyAlignment="1" applyProtection="1">
      <alignment horizontal="right" vertical="center"/>
      <protection locked="0"/>
    </xf>
    <xf numFmtId="4" fontId="11" fillId="9" borderId="39" xfId="0" applyNumberFormat="1" applyFont="1" applyFill="1" applyBorder="1" applyAlignment="1" applyProtection="1">
      <alignment horizontal="right" vertical="center"/>
      <protection locked="0"/>
    </xf>
    <xf numFmtId="0" fontId="7" fillId="11" borderId="32" xfId="0" applyNumberFormat="1" applyFont="1" applyFill="1" applyBorder="1" applyAlignment="1" applyProtection="1">
      <alignment horizontal="center" vertical="center"/>
      <protection locked="0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" fontId="18" fillId="9" borderId="32" xfId="5" applyNumberFormat="1" applyFont="1" applyFill="1" applyBorder="1" applyAlignment="1" applyProtection="1">
      <alignment horizontal="right" vertical="center"/>
      <protection locked="0"/>
    </xf>
    <xf numFmtId="4" fontId="18" fillId="9" borderId="33" xfId="5" applyNumberFormat="1" applyFont="1" applyFill="1" applyBorder="1" applyAlignment="1" applyProtection="1">
      <alignment horizontal="right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</xf>
    <xf numFmtId="4" fontId="7" fillId="11" borderId="33" xfId="2" applyNumberFormat="1" applyFont="1" applyFill="1" applyBorder="1" applyAlignment="1" applyProtection="1">
      <alignment horizontal="right" vertical="center"/>
    </xf>
    <xf numFmtId="4" fontId="7" fillId="11" borderId="39" xfId="2" applyNumberFormat="1" applyFont="1" applyFill="1" applyBorder="1" applyAlignment="1" applyProtection="1">
      <alignment horizontal="right" vertical="center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  <protection locked="0"/>
    </xf>
    <xf numFmtId="4" fontId="7" fillId="11" borderId="33" xfId="2" applyNumberFormat="1" applyFont="1" applyFill="1" applyBorder="1" applyAlignment="1" applyProtection="1">
      <alignment horizontal="right" vertical="center"/>
      <protection locked="0"/>
    </xf>
    <xf numFmtId="4" fontId="7" fillId="11" borderId="39" xfId="2" applyNumberFormat="1" applyFont="1" applyFill="1" applyBorder="1" applyAlignment="1" applyProtection="1">
      <alignment horizontal="right" vertical="center"/>
      <protection locked="0"/>
    </xf>
    <xf numFmtId="0" fontId="7" fillId="11" borderId="39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right" vertical="center" wrapText="1"/>
      <protection locked="0"/>
    </xf>
    <xf numFmtId="0" fontId="8" fillId="11" borderId="33" xfId="0" applyFont="1" applyFill="1" applyBorder="1" applyAlignment="1" applyProtection="1">
      <alignment horizontal="right" vertical="center" wrapText="1"/>
      <protection locked="0"/>
    </xf>
    <xf numFmtId="0" fontId="8" fillId="11" borderId="39" xfId="0" applyFont="1" applyFill="1" applyBorder="1" applyAlignment="1" applyProtection="1">
      <alignment horizontal="right" vertical="center" wrapText="1"/>
      <protection locked="0"/>
    </xf>
    <xf numFmtId="0" fontId="4" fillId="6" borderId="0" xfId="0" applyFont="1" applyFill="1" applyBorder="1" applyAlignment="1" applyProtection="1">
      <alignment horizontal="left" wrapText="1"/>
    </xf>
    <xf numFmtId="165" fontId="17" fillId="3" borderId="20" xfId="5" applyFont="1" applyFill="1" applyBorder="1" applyAlignment="1" applyProtection="1">
      <alignment horizontal="right" vertical="center"/>
    </xf>
    <xf numFmtId="165" fontId="17" fillId="3" borderId="26" xfId="5" applyFont="1" applyFill="1" applyBorder="1" applyAlignment="1" applyProtection="1">
      <alignment horizontal="right" vertical="center"/>
    </xf>
    <xf numFmtId="165" fontId="17" fillId="3" borderId="71" xfId="5" applyFont="1" applyFill="1" applyBorder="1" applyAlignment="1" applyProtection="1">
      <alignment horizontal="right" vertical="center"/>
    </xf>
    <xf numFmtId="165" fontId="27" fillId="3" borderId="20" xfId="5" applyFont="1" applyFill="1" applyBorder="1" applyAlignment="1" applyProtection="1">
      <alignment horizontal="right" vertical="center"/>
    </xf>
    <xf numFmtId="165" fontId="27" fillId="3" borderId="82" xfId="5" applyFont="1" applyFill="1" applyBorder="1" applyAlignment="1" applyProtection="1">
      <alignment horizontal="right" vertical="center"/>
    </xf>
    <xf numFmtId="165" fontId="17" fillId="3" borderId="36" xfId="5" applyFont="1" applyFill="1" applyBorder="1" applyAlignment="1" applyProtection="1">
      <alignment horizontal="right" vertical="center"/>
    </xf>
    <xf numFmtId="4" fontId="6" fillId="5" borderId="32" xfId="5" applyNumberFormat="1" applyFont="1" applyFill="1" applyBorder="1" applyAlignment="1" applyProtection="1">
      <alignment horizontal="right" vertical="center"/>
    </xf>
    <xf numFmtId="4" fontId="6" fillId="5" borderId="33" xfId="5" applyNumberFormat="1" applyFont="1" applyFill="1" applyBorder="1" applyAlignment="1" applyProtection="1">
      <alignment horizontal="right" vertical="center"/>
    </xf>
    <xf numFmtId="4" fontId="6" fillId="5" borderId="81" xfId="5" applyNumberFormat="1" applyFont="1" applyFill="1" applyBorder="1" applyAlignment="1" applyProtection="1">
      <alignment horizontal="right" vertical="center"/>
    </xf>
    <xf numFmtId="4" fontId="8" fillId="0" borderId="44" xfId="5" applyNumberFormat="1" applyFont="1" applyFill="1" applyBorder="1" applyAlignment="1" applyProtection="1">
      <alignment horizontal="right" vertical="center"/>
    </xf>
    <xf numFmtId="4" fontId="8" fillId="0" borderId="45" xfId="5" applyNumberFormat="1" applyFont="1" applyFill="1" applyBorder="1" applyAlignment="1" applyProtection="1">
      <alignment horizontal="right" vertical="center"/>
    </xf>
    <xf numFmtId="4" fontId="8" fillId="0" borderId="47" xfId="5" applyNumberFormat="1" applyFont="1" applyFill="1" applyBorder="1" applyAlignment="1" applyProtection="1">
      <alignment horizontal="right" vertical="center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165" fontId="7" fillId="0" borderId="23" xfId="5" applyFont="1" applyFill="1" applyBorder="1" applyAlignment="1" applyProtection="1">
      <alignment horizontal="right" vertical="center"/>
    </xf>
    <xf numFmtId="165" fontId="7" fillId="0" borderId="32" xfId="5" applyFont="1" applyFill="1" applyBorder="1" applyAlignment="1" applyProtection="1">
      <alignment horizontal="right" vertical="center"/>
    </xf>
    <xf numFmtId="165" fontId="19" fillId="5" borderId="23" xfId="5" applyFont="1" applyFill="1" applyBorder="1" applyAlignment="1" applyProtection="1">
      <alignment horizontal="right" vertical="center"/>
    </xf>
    <xf numFmtId="165" fontId="19" fillId="5" borderId="80" xfId="5" applyFont="1" applyFill="1" applyBorder="1" applyAlignment="1" applyProtection="1">
      <alignment horizontal="right" vertical="center"/>
    </xf>
    <xf numFmtId="0" fontId="11" fillId="11" borderId="32" xfId="0" applyFont="1" applyFill="1" applyBorder="1" applyAlignment="1" applyProtection="1">
      <alignment horizontal="right" vertical="center"/>
      <protection locked="0"/>
    </xf>
    <xf numFmtId="0" fontId="11" fillId="11" borderId="33" xfId="0" applyFont="1" applyFill="1" applyBorder="1" applyAlignment="1" applyProtection="1">
      <alignment horizontal="right" vertical="center"/>
      <protection locked="0"/>
    </xf>
    <xf numFmtId="0" fontId="11" fillId="11" borderId="39" xfId="0" applyFont="1" applyFill="1" applyBorder="1" applyAlignment="1" applyProtection="1">
      <alignment horizontal="right" vertical="center"/>
      <protection locked="0"/>
    </xf>
    <xf numFmtId="165" fontId="18" fillId="0" borderId="32" xfId="5" applyFont="1" applyFill="1" applyBorder="1" applyAlignment="1" applyProtection="1">
      <alignment horizontal="right" vertical="center"/>
      <protection locked="0"/>
    </xf>
    <xf numFmtId="165" fontId="18" fillId="0" borderId="33" xfId="5" applyFont="1" applyFill="1" applyBorder="1" applyAlignment="1" applyProtection="1">
      <alignment horizontal="right" vertical="center"/>
      <protection locked="0"/>
    </xf>
    <xf numFmtId="165" fontId="18" fillId="0" borderId="39" xfId="5" applyFont="1" applyFill="1" applyBorder="1" applyAlignment="1" applyProtection="1">
      <alignment horizontal="right" vertical="center"/>
      <protection locked="0"/>
    </xf>
    <xf numFmtId="0" fontId="11" fillId="11" borderId="32" xfId="0" applyFont="1" applyFill="1" applyBorder="1" applyAlignment="1" applyProtection="1">
      <alignment horizontal="left" vertical="center"/>
      <protection locked="0"/>
    </xf>
    <xf numFmtId="0" fontId="11" fillId="11" borderId="33" xfId="0" applyFont="1" applyFill="1" applyBorder="1" applyAlignment="1" applyProtection="1">
      <alignment horizontal="left" vertical="center"/>
      <protection locked="0"/>
    </xf>
    <xf numFmtId="0" fontId="11" fillId="11" borderId="39" xfId="0" applyFont="1" applyFill="1" applyBorder="1" applyAlignment="1" applyProtection="1">
      <alignment horizontal="left" vertical="center"/>
      <protection locked="0"/>
    </xf>
    <xf numFmtId="4" fontId="18" fillId="9" borderId="39" xfId="5" applyNumberFormat="1" applyFont="1" applyFill="1" applyBorder="1" applyAlignment="1" applyProtection="1">
      <alignment horizontal="right" vertical="center"/>
      <protection locked="0"/>
    </xf>
    <xf numFmtId="0" fontId="11" fillId="0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/>
      <protection locked="0"/>
    </xf>
    <xf numFmtId="4" fontId="18" fillId="0" borderId="32" xfId="5" applyNumberFormat="1" applyFont="1" applyFill="1" applyBorder="1" applyAlignment="1" applyProtection="1">
      <alignment horizontal="right" vertical="center" wrapText="1"/>
      <protection locked="0"/>
    </xf>
    <xf numFmtId="0" fontId="11" fillId="9" borderId="32" xfId="0" applyFont="1" applyFill="1" applyBorder="1" applyAlignment="1" applyProtection="1">
      <alignment horizontal="center" vertical="center"/>
      <protection locked="0"/>
    </xf>
    <xf numFmtId="0" fontId="11" fillId="9" borderId="39" xfId="0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left" vertical="center" wrapText="1"/>
      <protection locked="0"/>
    </xf>
    <xf numFmtId="0" fontId="8" fillId="11" borderId="33" xfId="0" applyFont="1" applyFill="1" applyBorder="1" applyAlignment="1" applyProtection="1">
      <alignment horizontal="left" vertical="center" wrapText="1"/>
      <protection locked="0"/>
    </xf>
    <xf numFmtId="0" fontId="8" fillId="11" borderId="39" xfId="0" applyFont="1" applyFill="1" applyBorder="1" applyAlignment="1" applyProtection="1">
      <alignment horizontal="left" vertical="center" wrapText="1"/>
      <protection locked="0"/>
    </xf>
    <xf numFmtId="49" fontId="11" fillId="9" borderId="30" xfId="0" applyNumberFormat="1" applyFont="1" applyFill="1" applyBorder="1" applyAlignment="1" applyProtection="1">
      <alignment horizontal="center" vertical="center"/>
      <protection locked="0"/>
    </xf>
    <xf numFmtId="49" fontId="11" fillId="9" borderId="52" xfId="0" applyNumberFormat="1" applyFont="1" applyFill="1" applyBorder="1" applyAlignment="1" applyProtection="1">
      <alignment horizontal="center" vertical="center"/>
      <protection locked="0"/>
    </xf>
    <xf numFmtId="4" fontId="8" fillId="9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9" borderId="31" xfId="0" applyFont="1" applyFill="1" applyBorder="1" applyAlignment="1" applyProtection="1">
      <alignment horizontal="left" vertical="center" wrapText="1"/>
      <protection locked="0"/>
    </xf>
    <xf numFmtId="0" fontId="8" fillId="9" borderId="52" xfId="0" applyFont="1" applyFill="1" applyBorder="1" applyAlignment="1" applyProtection="1">
      <alignment horizontal="left" vertical="center" wrapText="1"/>
      <protection locked="0"/>
    </xf>
    <xf numFmtId="0" fontId="11" fillId="9" borderId="30" xfId="0" applyFont="1" applyFill="1" applyBorder="1" applyAlignment="1" applyProtection="1">
      <alignment horizontal="center" vertical="center"/>
      <protection locked="0"/>
    </xf>
    <xf numFmtId="0" fontId="11" fillId="9" borderId="52" xfId="0" applyFont="1" applyFill="1" applyBorder="1" applyAlignment="1" applyProtection="1">
      <alignment horizontal="center" vertical="center"/>
      <protection locked="0"/>
    </xf>
    <xf numFmtId="4" fontId="18" fillId="9" borderId="48" xfId="5" applyNumberFormat="1" applyFont="1" applyFill="1" applyBorder="1" applyAlignment="1" applyProtection="1">
      <alignment horizontal="right" vertical="center"/>
      <protection locked="0"/>
    </xf>
    <xf numFmtId="4" fontId="18" fillId="9" borderId="49" xfId="5" applyNumberFormat="1" applyFont="1" applyFill="1" applyBorder="1" applyAlignment="1" applyProtection="1">
      <alignment horizontal="right" vertical="center"/>
      <protection locked="0"/>
    </xf>
    <xf numFmtId="4" fontId="18" fillId="9" borderId="53" xfId="5" applyNumberFormat="1" applyFont="1" applyFill="1" applyBorder="1" applyAlignment="1" applyProtection="1">
      <alignment horizontal="right" vertical="center"/>
      <protection locked="0"/>
    </xf>
    <xf numFmtId="4" fontId="7" fillId="9" borderId="48" xfId="5" applyNumberFormat="1" applyFont="1" applyFill="1" applyBorder="1" applyAlignment="1" applyProtection="1">
      <alignment horizontal="right" vertical="center"/>
    </xf>
    <xf numFmtId="4" fontId="7" fillId="9" borderId="49" xfId="5" applyNumberFormat="1" applyFont="1" applyFill="1" applyBorder="1" applyAlignment="1" applyProtection="1">
      <alignment horizontal="right" vertical="center"/>
    </xf>
    <xf numFmtId="4" fontId="7" fillId="9" borderId="50" xfId="5" applyNumberFormat="1" applyFont="1" applyFill="1" applyBorder="1" applyAlignment="1" applyProtection="1">
      <alignment horizontal="right" vertical="center"/>
    </xf>
    <xf numFmtId="4" fontId="18" fillId="0" borderId="32" xfId="5" applyNumberFormat="1" applyFont="1" applyFill="1" applyBorder="1" applyAlignment="1" applyProtection="1">
      <alignment horizontal="center" vertical="center"/>
      <protection locked="0"/>
    </xf>
    <xf numFmtId="4" fontId="18" fillId="0" borderId="33" xfId="5" applyNumberFormat="1" applyFont="1" applyFill="1" applyBorder="1" applyAlignment="1" applyProtection="1">
      <alignment horizontal="center" vertical="center"/>
      <protection locked="0"/>
    </xf>
    <xf numFmtId="4" fontId="11" fillId="9" borderId="51" xfId="5" applyNumberFormat="1" applyFont="1" applyFill="1" applyBorder="1" applyAlignment="1" applyProtection="1">
      <alignment horizontal="right" vertical="center"/>
    </xf>
    <xf numFmtId="4" fontId="11" fillId="9" borderId="38" xfId="5" applyNumberFormat="1" applyFont="1" applyFill="1" applyBorder="1" applyAlignment="1" applyProtection="1">
      <alignment horizontal="right" vertical="center"/>
    </xf>
    <xf numFmtId="4" fontId="11" fillId="9" borderId="79" xfId="5" applyNumberFormat="1" applyFont="1" applyFill="1" applyBorder="1" applyAlignment="1" applyProtection="1">
      <alignment horizontal="right" vertical="center"/>
    </xf>
    <xf numFmtId="4" fontId="7" fillId="11" borderId="32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33" xfId="0" applyNumberFormat="1" applyFont="1" applyFill="1" applyBorder="1" applyAlignment="1" applyProtection="1">
      <alignment horizontal="right" vertical="center"/>
      <protection locked="0"/>
    </xf>
    <xf numFmtId="4" fontId="18" fillId="0" borderId="39" xfId="0" applyNumberFormat="1" applyFont="1" applyFill="1" applyBorder="1" applyAlignment="1" applyProtection="1">
      <alignment horizontal="right" vertical="center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right" vertical="center"/>
    </xf>
    <xf numFmtId="0" fontId="21" fillId="4" borderId="54" xfId="0" applyFont="1" applyFill="1" applyBorder="1" applyAlignment="1" applyProtection="1">
      <alignment horizontal="left" vertical="center"/>
      <protection locked="0"/>
    </xf>
    <xf numFmtId="0" fontId="21" fillId="4" borderId="29" xfId="0" applyFont="1" applyFill="1" applyBorder="1" applyAlignment="1" applyProtection="1">
      <alignment horizontal="left" vertical="center"/>
      <protection locked="0"/>
    </xf>
    <xf numFmtId="0" fontId="21" fillId="4" borderId="3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72" xfId="0" applyFont="1" applyFill="1" applyBorder="1" applyAlignment="1" applyProtection="1">
      <alignment horizontal="center" vertical="center"/>
      <protection locked="0"/>
    </xf>
    <xf numFmtId="0" fontId="21" fillId="4" borderId="54" xfId="0" applyFont="1" applyFill="1" applyBorder="1" applyAlignment="1" applyProtection="1">
      <alignment horizontal="left" vertical="center" wrapText="1"/>
      <protection locked="0"/>
    </xf>
    <xf numFmtId="0" fontId="21" fillId="4" borderId="29" xfId="0" applyFont="1" applyFill="1" applyBorder="1" applyAlignment="1" applyProtection="1">
      <alignment horizontal="left" vertical="center" wrapText="1"/>
      <protection locked="0"/>
    </xf>
    <xf numFmtId="0" fontId="21" fillId="4" borderId="37" xfId="0" applyFont="1" applyFill="1" applyBorder="1" applyAlignment="1" applyProtection="1">
      <alignment horizontal="left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21" fillId="4" borderId="72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left" vertical="center" wrapText="1"/>
    </xf>
    <xf numFmtId="0" fontId="19" fillId="0" borderId="73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9" fillId="0" borderId="72" xfId="0" applyFont="1" applyBorder="1" applyAlignment="1" applyProtection="1">
      <alignment horizontal="left" vertical="center" wrapText="1"/>
    </xf>
    <xf numFmtId="10" fontId="7" fillId="6" borderId="33" xfId="0" applyNumberFormat="1" applyFont="1" applyFill="1" applyBorder="1" applyAlignment="1" applyProtection="1">
      <alignment horizontal="center" vertical="center"/>
    </xf>
    <xf numFmtId="10" fontId="7" fillId="6" borderId="39" xfId="0" applyNumberFormat="1" applyFont="1" applyFill="1" applyBorder="1" applyAlignment="1" applyProtection="1">
      <alignment horizontal="center" vertical="center"/>
    </xf>
    <xf numFmtId="10" fontId="7" fillId="4" borderId="33" xfId="3" applyNumberFormat="1" applyFont="1" applyFill="1" applyBorder="1" applyAlignment="1" applyProtection="1">
      <alignment horizontal="right" vertical="center"/>
      <protection locked="0"/>
    </xf>
    <xf numFmtId="10" fontId="7" fillId="4" borderId="39" xfId="3" applyNumberFormat="1" applyFont="1" applyFill="1" applyBorder="1" applyAlignment="1" applyProtection="1">
      <alignment horizontal="right" vertical="center"/>
      <protection locked="0"/>
    </xf>
    <xf numFmtId="10" fontId="7" fillId="6" borderId="31" xfId="0" applyNumberFormat="1" applyFont="1" applyFill="1" applyBorder="1" applyAlignment="1" applyProtection="1">
      <alignment horizontal="center" vertical="center"/>
    </xf>
    <xf numFmtId="10" fontId="7" fillId="6" borderId="52" xfId="0" applyNumberFormat="1" applyFont="1" applyFill="1" applyBorder="1" applyAlignment="1" applyProtection="1">
      <alignment horizontal="center" vertical="center"/>
    </xf>
    <xf numFmtId="10" fontId="7" fillId="4" borderId="31" xfId="3" applyNumberFormat="1" applyFont="1" applyFill="1" applyBorder="1" applyAlignment="1" applyProtection="1">
      <alignment horizontal="right" vertical="center"/>
      <protection locked="0"/>
    </xf>
    <xf numFmtId="10" fontId="7" fillId="4" borderId="52" xfId="3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0" fontId="8" fillId="3" borderId="5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72" xfId="0" applyFont="1" applyFill="1" applyBorder="1" applyAlignment="1" applyProtection="1">
      <alignment horizontal="center" vertical="center"/>
    </xf>
    <xf numFmtId="10" fontId="7" fillId="6" borderId="34" xfId="0" applyNumberFormat="1" applyFont="1" applyFill="1" applyBorder="1" applyAlignment="1" applyProtection="1">
      <alignment horizontal="center" vertical="center"/>
    </xf>
    <xf numFmtId="10" fontId="7" fillId="6" borderId="35" xfId="0" applyNumberFormat="1" applyFont="1" applyFill="1" applyBorder="1" applyAlignment="1" applyProtection="1">
      <alignment horizontal="center" vertical="center"/>
    </xf>
    <xf numFmtId="10" fontId="7" fillId="6" borderId="55" xfId="0" applyNumberFormat="1" applyFont="1" applyFill="1" applyBorder="1" applyAlignment="1" applyProtection="1">
      <alignment horizontal="center" vertical="center"/>
    </xf>
    <xf numFmtId="10" fontId="7" fillId="4" borderId="35" xfId="3" applyNumberFormat="1" applyFont="1" applyFill="1" applyBorder="1" applyAlignment="1" applyProtection="1">
      <alignment horizontal="right" vertical="center"/>
      <protection locked="0"/>
    </xf>
    <xf numFmtId="10" fontId="7" fillId="4" borderId="55" xfId="3" applyNumberFormat="1" applyFont="1" applyFill="1" applyBorder="1" applyAlignment="1" applyProtection="1">
      <alignment horizontal="right" vertical="center"/>
      <protection locked="0"/>
    </xf>
    <xf numFmtId="0" fontId="17" fillId="4" borderId="5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168" fontId="17" fillId="4" borderId="28" xfId="0" applyNumberFormat="1" applyFont="1" applyFill="1" applyBorder="1" applyAlignment="1" applyProtection="1">
      <alignment horizontal="left" vertical="center"/>
      <protection locked="0"/>
    </xf>
    <xf numFmtId="168" fontId="17" fillId="4" borderId="29" xfId="0" applyNumberFormat="1" applyFont="1" applyFill="1" applyBorder="1" applyAlignment="1" applyProtection="1">
      <alignment horizontal="left" vertical="center"/>
      <protection locked="0"/>
    </xf>
    <xf numFmtId="168" fontId="17" fillId="4" borderId="37" xfId="0" applyNumberFormat="1" applyFont="1" applyFill="1" applyBorder="1" applyAlignment="1" applyProtection="1">
      <alignment horizontal="left" vertical="center"/>
      <protection locked="0"/>
    </xf>
    <xf numFmtId="168" fontId="17" fillId="9" borderId="28" xfId="0" applyNumberFormat="1" applyFont="1" applyFill="1" applyBorder="1" applyAlignment="1" applyProtection="1">
      <alignment horizontal="left" vertical="center"/>
      <protection locked="0"/>
    </xf>
    <xf numFmtId="168" fontId="17" fillId="9" borderId="29" xfId="0" applyNumberFormat="1" applyFont="1" applyFill="1" applyBorder="1" applyAlignment="1" applyProtection="1">
      <alignment horizontal="left" vertical="center"/>
      <protection locked="0"/>
    </xf>
    <xf numFmtId="168" fontId="17" fillId="9" borderId="72" xfId="0" applyNumberFormat="1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right" vertical="center"/>
    </xf>
    <xf numFmtId="0" fontId="21" fillId="3" borderId="27" xfId="0" applyFont="1" applyFill="1" applyBorder="1" applyAlignment="1" applyProtection="1">
      <alignment horizontal="right" vertical="center"/>
    </xf>
    <xf numFmtId="0" fontId="21" fillId="3" borderId="36" xfId="0" applyFont="1" applyFill="1" applyBorder="1" applyAlignment="1" applyProtection="1">
      <alignment horizontal="right" vertical="center"/>
    </xf>
    <xf numFmtId="0" fontId="21" fillId="3" borderId="57" xfId="0" applyFont="1" applyFill="1" applyBorder="1" applyAlignment="1" applyProtection="1">
      <alignment horizontal="right" vertical="center"/>
    </xf>
    <xf numFmtId="0" fontId="21" fillId="3" borderId="29" xfId="0" applyFont="1" applyFill="1" applyBorder="1" applyAlignment="1" applyProtection="1">
      <alignment horizontal="right" vertical="center"/>
    </xf>
    <xf numFmtId="0" fontId="21" fillId="3" borderId="37" xfId="0" applyFont="1" applyFill="1" applyBorder="1" applyAlignment="1" applyProtection="1">
      <alignment horizontal="right" vertical="center"/>
    </xf>
    <xf numFmtId="10" fontId="21" fillId="5" borderId="26" xfId="3" applyNumberFormat="1" applyFont="1" applyFill="1" applyBorder="1" applyAlignment="1" applyProtection="1">
      <alignment horizontal="center" vertical="center"/>
    </xf>
    <xf numFmtId="10" fontId="21" fillId="5" borderId="27" xfId="3" applyNumberFormat="1" applyFont="1" applyFill="1" applyBorder="1" applyAlignment="1" applyProtection="1">
      <alignment horizontal="center" vertical="center"/>
    </xf>
    <xf numFmtId="10" fontId="21" fillId="5" borderId="73" xfId="3" applyNumberFormat="1" applyFont="1" applyFill="1" applyBorder="1" applyAlignment="1" applyProtection="1">
      <alignment horizontal="center" vertical="center"/>
    </xf>
    <xf numFmtId="10" fontId="21" fillId="5" borderId="28" xfId="3" applyNumberFormat="1" applyFont="1" applyFill="1" applyBorder="1" applyAlignment="1" applyProtection="1">
      <alignment horizontal="center" vertical="center"/>
    </xf>
    <xf numFmtId="10" fontId="21" fillId="5" borderId="29" xfId="3" applyNumberFormat="1" applyFont="1" applyFill="1" applyBorder="1" applyAlignment="1" applyProtection="1">
      <alignment horizontal="center" vertical="center"/>
    </xf>
    <xf numFmtId="10" fontId="21" fillId="5" borderId="72" xfId="3" applyNumberFormat="1" applyFont="1" applyFill="1" applyBorder="1" applyAlignment="1" applyProtection="1">
      <alignment horizontal="center" vertical="center"/>
    </xf>
    <xf numFmtId="0" fontId="8" fillId="3" borderId="71" xfId="0" applyFont="1" applyFill="1" applyBorder="1" applyAlignment="1" applyProtection="1">
      <alignment horizontal="center" vertical="center" textRotation="90"/>
    </xf>
    <xf numFmtId="0" fontId="8" fillId="3" borderId="77" xfId="0" applyFont="1" applyFill="1" applyBorder="1" applyAlignment="1" applyProtection="1">
      <alignment horizontal="center" vertical="center" textRotation="90"/>
    </xf>
    <xf numFmtId="0" fontId="8" fillId="3" borderId="78" xfId="0" applyFont="1" applyFill="1" applyBorder="1" applyAlignment="1" applyProtection="1">
      <alignment horizontal="center" vertical="center" textRotation="90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169" fontId="8" fillId="3" borderId="26" xfId="0" applyNumberFormat="1" applyFont="1" applyFill="1" applyBorder="1" applyAlignment="1" applyProtection="1">
      <alignment horizontal="center" vertical="center"/>
    </xf>
    <xf numFmtId="169" fontId="8" fillId="3" borderId="27" xfId="0" applyNumberFormat="1" applyFont="1" applyFill="1" applyBorder="1" applyAlignment="1" applyProtection="1">
      <alignment horizontal="center" vertical="center"/>
    </xf>
    <xf numFmtId="169" fontId="8" fillId="3" borderId="36" xfId="0" applyNumberFormat="1" applyFont="1" applyFill="1" applyBorder="1" applyAlignment="1" applyProtection="1">
      <alignment horizontal="center" vertical="center"/>
    </xf>
    <xf numFmtId="169" fontId="8" fillId="3" borderId="13" xfId="0" applyNumberFormat="1" applyFont="1" applyFill="1" applyBorder="1" applyAlignment="1" applyProtection="1">
      <alignment horizontal="center" vertical="center"/>
    </xf>
    <xf numFmtId="169" fontId="8" fillId="3" borderId="0" xfId="0" applyNumberFormat="1" applyFont="1" applyFill="1" applyBorder="1" applyAlignment="1" applyProtection="1">
      <alignment horizontal="center" vertical="center"/>
    </xf>
    <xf numFmtId="169" fontId="8" fillId="3" borderId="25" xfId="0" applyNumberFormat="1" applyFont="1" applyFill="1" applyBorder="1" applyAlignment="1" applyProtection="1">
      <alignment horizontal="center" vertical="center"/>
    </xf>
    <xf numFmtId="169" fontId="8" fillId="3" borderId="28" xfId="0" applyNumberFormat="1" applyFont="1" applyFill="1" applyBorder="1" applyAlignment="1" applyProtection="1">
      <alignment horizontal="center" vertical="center"/>
    </xf>
    <xf numFmtId="169" fontId="8" fillId="3" borderId="29" xfId="0" applyNumberFormat="1" applyFont="1" applyFill="1" applyBorder="1" applyAlignment="1" applyProtection="1">
      <alignment horizontal="center" vertical="center"/>
    </xf>
    <xf numFmtId="169" fontId="8" fillId="3" borderId="37" xfId="0" applyNumberFormat="1" applyFont="1" applyFill="1" applyBorder="1" applyAlignment="1" applyProtection="1">
      <alignment horizontal="center" vertical="center"/>
    </xf>
    <xf numFmtId="0" fontId="33" fillId="3" borderId="63" xfId="0" applyFont="1" applyFill="1" applyBorder="1" applyAlignment="1" applyProtection="1">
      <alignment horizontal="center" vertical="center"/>
    </xf>
    <xf numFmtId="0" fontId="33" fillId="3" borderId="27" xfId="0" applyFont="1" applyFill="1" applyBorder="1" applyAlignment="1" applyProtection="1">
      <alignment horizontal="center" vertical="center"/>
    </xf>
    <xf numFmtId="0" fontId="33" fillId="3" borderId="36" xfId="0" applyFont="1" applyFill="1" applyBorder="1" applyAlignment="1" applyProtection="1">
      <alignment horizontal="center" vertical="center"/>
    </xf>
    <xf numFmtId="0" fontId="33" fillId="3" borderId="54" xfId="0" applyFont="1" applyFill="1" applyBorder="1" applyAlignment="1" applyProtection="1">
      <alignment horizontal="center" vertical="center"/>
    </xf>
    <xf numFmtId="0" fontId="33" fillId="3" borderId="29" xfId="0" applyFont="1" applyFill="1" applyBorder="1" applyAlignment="1" applyProtection="1">
      <alignment horizontal="center" vertical="center"/>
    </xf>
    <xf numFmtId="0" fontId="33" fillId="3" borderId="37" xfId="0" applyFont="1" applyFill="1" applyBorder="1" applyAlignment="1" applyProtection="1">
      <alignment horizontal="center" vertical="center"/>
    </xf>
    <xf numFmtId="4" fontId="7" fillId="0" borderId="0" xfId="5" applyNumberFormat="1" applyFont="1" applyFill="1" applyBorder="1" applyAlignment="1" applyProtection="1">
      <alignment horizontal="right" vertical="center"/>
      <protection locked="0"/>
    </xf>
    <xf numFmtId="165" fontId="7" fillId="0" borderId="0" xfId="5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center" vertical="center"/>
      <protection locked="0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70" fontId="1" fillId="0" borderId="0" xfId="8" applyNumberFormat="1" applyFont="1" applyFill="1" applyBorder="1" applyAlignment="1" applyProtection="1">
      <alignment horizontal="left"/>
    </xf>
    <xf numFmtId="0" fontId="1" fillId="0" borderId="27" xfId="8" applyFont="1" applyBorder="1" applyAlignment="1" applyProtection="1">
      <alignment horizontal="center" vertical="center"/>
    </xf>
    <xf numFmtId="49" fontId="1" fillId="0" borderId="0" xfId="8" applyNumberFormat="1" applyFont="1" applyFill="1" applyBorder="1" applyAlignment="1" applyProtection="1">
      <alignment horizontal="left"/>
      <protection locked="0"/>
    </xf>
    <xf numFmtId="0" fontId="6" fillId="0" borderId="0" xfId="8" applyFont="1" applyBorder="1" applyAlignment="1" applyProtection="1">
      <alignment horizontal="left" vertical="center"/>
    </xf>
    <xf numFmtId="0" fontId="1" fillId="0" borderId="0" xfId="8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/>
    </xf>
    <xf numFmtId="0" fontId="29" fillId="0" borderId="0" xfId="0" quotePrefix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top"/>
    </xf>
    <xf numFmtId="0" fontId="32" fillId="0" borderId="10" xfId="8" applyFont="1" applyBorder="1" applyAlignment="1" applyProtection="1">
      <alignment horizontal="center" vertical="center" wrapText="1"/>
    </xf>
    <xf numFmtId="49" fontId="1" fillId="12" borderId="11" xfId="8" applyNumberFormat="1" applyFont="1" applyFill="1" applyBorder="1" applyAlignment="1" applyProtection="1">
      <alignment horizontal="left" vertical="top" wrapText="1"/>
      <protection locked="0"/>
    </xf>
    <xf numFmtId="49" fontId="1" fillId="12" borderId="2" xfId="8" applyNumberFormat="1" applyFont="1" applyFill="1" applyBorder="1" applyAlignment="1" applyProtection="1">
      <alignment horizontal="left" vertical="top" wrapText="1"/>
      <protection locked="0"/>
    </xf>
    <xf numFmtId="49" fontId="1" fillId="12" borderId="14" xfId="8" applyNumberFormat="1" applyFont="1" applyFill="1" applyBorder="1" applyAlignment="1" applyProtection="1">
      <alignment horizontal="left" vertical="top" wrapText="1"/>
      <protection locked="0"/>
    </xf>
    <xf numFmtId="170" fontId="1" fillId="0" borderId="29" xfId="8" applyNumberFormat="1" applyFont="1" applyFill="1" applyBorder="1" applyAlignment="1" applyProtection="1">
      <alignment horizontal="left"/>
    </xf>
    <xf numFmtId="171" fontId="1" fillId="0" borderId="29" xfId="8" applyNumberFormat="1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28" fillId="0" borderId="0" xfId="8" applyFont="1" applyAlignment="1" applyProtection="1">
      <alignment horizontal="left" vertical="center" indent="1"/>
    </xf>
    <xf numFmtId="0" fontId="1" fillId="0" borderId="10" xfId="8" applyFont="1" applyBorder="1" applyAlignment="1" applyProtection="1">
      <alignment horizontal="left" vertical="center" wrapText="1"/>
    </xf>
    <xf numFmtId="0" fontId="1" fillId="0" borderId="10" xfId="8" applyFont="1" applyBorder="1" applyAlignment="1" applyProtection="1">
      <alignment horizontal="left" vertical="center"/>
    </xf>
    <xf numFmtId="0" fontId="25" fillId="0" borderId="0" xfId="8" applyFont="1" applyBorder="1" applyAlignment="1" applyProtection="1">
      <alignment horizontal="left" vertical="center" wrapText="1"/>
    </xf>
    <xf numFmtId="2" fontId="26" fillId="0" borderId="27" xfId="8" applyNumberFormat="1" applyFont="1" applyFill="1" applyBorder="1" applyAlignment="1" applyProtection="1">
      <alignment horizontal="center" vertical="center"/>
    </xf>
    <xf numFmtId="0" fontId="7" fillId="0" borderId="10" xfId="8" applyFont="1" applyFill="1" applyBorder="1" applyAlignment="1" applyProtection="1">
      <alignment horizontal="left"/>
    </xf>
    <xf numFmtId="10" fontId="7" fillId="12" borderId="10" xfId="8" applyNumberFormat="1" applyFont="1" applyFill="1" applyBorder="1" applyAlignment="1" applyProtection="1">
      <alignment horizontal="center"/>
      <protection locked="0"/>
    </xf>
    <xf numFmtId="0" fontId="6" fillId="0" borderId="10" xfId="8" applyFont="1" applyBorder="1" applyAlignment="1" applyProtection="1">
      <alignment horizontal="center" vertical="center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/>
    </xf>
    <xf numFmtId="0" fontId="2" fillId="0" borderId="10" xfId="8" applyFont="1" applyFill="1" applyBorder="1" applyAlignment="1" applyProtection="1">
      <alignment horizontal="center" vertical="center"/>
    </xf>
    <xf numFmtId="0" fontId="2" fillId="0" borderId="13" xfId="11" applyFont="1" applyBorder="1" applyAlignment="1" applyProtection="1">
      <alignment horizontal="left" vertical="top"/>
    </xf>
    <xf numFmtId="0" fontId="2" fillId="0" borderId="0" xfId="11" applyFont="1" applyBorder="1" applyAlignment="1" applyProtection="1">
      <alignment horizontal="left" vertical="top"/>
    </xf>
    <xf numFmtId="0" fontId="2" fillId="0" borderId="25" xfId="11" applyFont="1" applyBorder="1" applyAlignment="1" applyProtection="1">
      <alignment horizontal="left" vertical="top"/>
    </xf>
    <xf numFmtId="164" fontId="7" fillId="12" borderId="28" xfId="12" applyFont="1" applyFill="1" applyBorder="1" applyAlignment="1" applyProtection="1">
      <alignment horizontal="left"/>
      <protection locked="0"/>
    </xf>
    <xf numFmtId="164" fontId="7" fillId="12" borderId="29" xfId="12" applyFont="1" applyFill="1" applyBorder="1" applyAlignment="1" applyProtection="1">
      <alignment horizontal="left"/>
      <protection locked="0"/>
    </xf>
    <xf numFmtId="164" fontId="7" fillId="12" borderId="37" xfId="12" applyFont="1" applyFill="1" applyBorder="1" applyAlignment="1" applyProtection="1">
      <alignment horizontal="left"/>
      <protection locked="0"/>
    </xf>
    <xf numFmtId="0" fontId="1" fillId="0" borderId="28" xfId="8" applyFont="1" applyFill="1" applyBorder="1" applyAlignment="1" applyProtection="1">
      <alignment horizontal="center" vertical="top" wrapText="1"/>
    </xf>
    <xf numFmtId="0" fontId="1" fillId="0" borderId="37" xfId="8" applyFont="1" applyFill="1" applyBorder="1" applyAlignment="1" applyProtection="1">
      <alignment horizontal="center" vertical="top" wrapText="1"/>
    </xf>
    <xf numFmtId="0" fontId="7" fillId="0" borderId="10" xfId="8" applyFont="1" applyFill="1" applyBorder="1" applyAlignment="1" applyProtection="1">
      <alignment horizontal="left" wrapText="1"/>
    </xf>
    <xf numFmtId="0" fontId="7" fillId="0" borderId="40" xfId="12" applyNumberFormat="1" applyFont="1" applyFill="1" applyBorder="1" applyAlignment="1" applyProtection="1">
      <alignment horizontal="left" wrapText="1"/>
    </xf>
    <xf numFmtId="0" fontId="1" fillId="0" borderId="28" xfId="8" applyFont="1" applyFill="1" applyBorder="1" applyAlignment="1" applyProtection="1">
      <alignment horizontal="left" vertical="top" wrapText="1"/>
    </xf>
    <xf numFmtId="0" fontId="1" fillId="0" borderId="37" xfId="8" applyFont="1" applyFill="1" applyBorder="1" applyAlignment="1" applyProtection="1">
      <alignment horizontal="left" vertical="top" wrapText="1"/>
    </xf>
    <xf numFmtId="49" fontId="1" fillId="0" borderId="28" xfId="8" applyNumberFormat="1" applyFont="1" applyFill="1" applyBorder="1" applyAlignment="1" applyProtection="1">
      <alignment horizontal="left" vertical="top" wrapText="1"/>
    </xf>
    <xf numFmtId="0" fontId="1" fillId="0" borderId="29" xfId="8" applyNumberFormat="1" applyFont="1" applyFill="1" applyBorder="1" applyAlignment="1" applyProtection="1">
      <alignment horizontal="left" vertical="top" wrapText="1"/>
    </xf>
    <xf numFmtId="0" fontId="1" fillId="0" borderId="37" xfId="8" applyNumberFormat="1" applyFont="1" applyFill="1" applyBorder="1" applyAlignment="1" applyProtection="1">
      <alignment horizontal="left" vertical="top" wrapText="1"/>
    </xf>
    <xf numFmtId="165" fontId="2" fillId="9" borderId="66" xfId="0" applyNumberFormat="1" applyFont="1" applyFill="1" applyBorder="1" applyAlignment="1">
      <alignment horizontal="center"/>
    </xf>
    <xf numFmtId="165" fontId="2" fillId="9" borderId="67" xfId="0" applyNumberFormat="1" applyFont="1" applyFill="1" applyBorder="1" applyAlignment="1">
      <alignment horizontal="center"/>
    </xf>
    <xf numFmtId="0" fontId="6" fillId="6" borderId="69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8" borderId="61" xfId="0" applyFont="1" applyFill="1" applyBorder="1" applyAlignment="1">
      <alignment horizontal="right"/>
    </xf>
    <xf numFmtId="0" fontId="2" fillId="8" borderId="62" xfId="0" applyFont="1" applyFill="1" applyBorder="1" applyAlignment="1">
      <alignment horizontal="right"/>
    </xf>
    <xf numFmtId="0" fontId="2" fillId="8" borderId="63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0" fontId="35" fillId="0" borderId="11" xfId="13" applyFont="1" applyBorder="1" applyAlignment="1">
      <alignment horizontal="center" vertical="center"/>
    </xf>
    <xf numFmtId="0" fontId="35" fillId="0" borderId="2" xfId="13" applyFont="1" applyBorder="1" applyAlignment="1">
      <alignment horizontal="center" vertical="center"/>
    </xf>
    <xf numFmtId="0" fontId="35" fillId="0" borderId="14" xfId="13" applyFont="1" applyBorder="1" applyAlignment="1">
      <alignment horizontal="center" vertical="center"/>
    </xf>
    <xf numFmtId="0" fontId="36" fillId="0" borderId="69" xfId="0" applyFont="1" applyFill="1" applyBorder="1" applyAlignment="1">
      <alignment horizontal="left" vertical="top"/>
    </xf>
    <xf numFmtId="0" fontId="36" fillId="0" borderId="70" xfId="0" applyFont="1" applyFill="1" applyBorder="1" applyAlignment="1">
      <alignment horizontal="left" vertical="top"/>
    </xf>
    <xf numFmtId="0" fontId="36" fillId="0" borderId="86" xfId="0" applyFont="1" applyFill="1" applyBorder="1" applyAlignment="1">
      <alignment horizontal="left" vertical="top"/>
    </xf>
    <xf numFmtId="0" fontId="36" fillId="0" borderId="59" xfId="0" applyFont="1" applyFill="1" applyBorder="1" applyAlignment="1">
      <alignment horizontal="left" vertical="center"/>
    </xf>
    <xf numFmtId="0" fontId="36" fillId="0" borderId="60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top"/>
    </xf>
    <xf numFmtId="0" fontId="36" fillId="0" borderId="2" xfId="0" applyFont="1" applyFill="1" applyBorder="1" applyAlignment="1">
      <alignment horizontal="left" vertical="top"/>
    </xf>
    <xf numFmtId="0" fontId="36" fillId="0" borderId="14" xfId="0" applyFont="1" applyFill="1" applyBorder="1" applyAlignment="1">
      <alignment horizontal="left" vertical="top"/>
    </xf>
    <xf numFmtId="0" fontId="36" fillId="0" borderId="10" xfId="0" applyFont="1" applyFill="1" applyBorder="1" applyAlignment="1">
      <alignment horizontal="left" vertical="center"/>
    </xf>
    <xf numFmtId="0" fontId="36" fillId="0" borderId="11" xfId="0" applyFont="1" applyFill="1" applyBorder="1" applyAlignment="1">
      <alignment horizontal="left" vertical="center"/>
    </xf>
    <xf numFmtId="0" fontId="36" fillId="0" borderId="12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14" xfId="0" applyFont="1" applyFill="1" applyBorder="1" applyAlignment="1">
      <alignment horizontal="left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41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62" xfId="0" applyFont="1" applyFill="1" applyBorder="1" applyAlignment="1">
      <alignment horizontal="left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center" vertical="center"/>
    </xf>
    <xf numFmtId="10" fontId="36" fillId="0" borderId="87" xfId="3" applyNumberFormat="1" applyFont="1" applyFill="1" applyBorder="1" applyAlignment="1">
      <alignment horizontal="center" vertical="center"/>
    </xf>
    <xf numFmtId="49" fontId="37" fillId="0" borderId="11" xfId="0" applyNumberFormat="1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14" xfId="0" applyNumberFormat="1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justify" vertical="center"/>
    </xf>
    <xf numFmtId="49" fontId="38" fillId="0" borderId="2" xfId="0" applyNumberFormat="1" applyFont="1" applyBorder="1" applyAlignment="1">
      <alignment horizontal="justify" vertical="center"/>
    </xf>
    <xf numFmtId="49" fontId="38" fillId="0" borderId="14" xfId="0" applyNumberFormat="1" applyFont="1" applyBorder="1" applyAlignment="1">
      <alignment horizontal="justify" vertical="center"/>
    </xf>
    <xf numFmtId="0" fontId="1" fillId="0" borderId="0" xfId="13"/>
    <xf numFmtId="10" fontId="1" fillId="0" borderId="0" xfId="13" applyNumberFormat="1"/>
    <xf numFmtId="0" fontId="39" fillId="3" borderId="20" xfId="13" applyFont="1" applyFill="1" applyBorder="1" applyAlignment="1">
      <alignment horizontal="center" vertical="center"/>
    </xf>
    <xf numFmtId="0" fontId="39" fillId="3" borderId="20" xfId="13" applyFont="1" applyFill="1" applyBorder="1" applyAlignment="1">
      <alignment horizontal="center"/>
    </xf>
    <xf numFmtId="0" fontId="39" fillId="3" borderId="26" xfId="13" applyFont="1" applyFill="1" applyBorder="1" applyAlignment="1">
      <alignment horizontal="center"/>
    </xf>
    <xf numFmtId="0" fontId="39" fillId="3" borderId="11" xfId="13" applyFont="1" applyFill="1" applyBorder="1" applyAlignment="1">
      <alignment horizontal="center"/>
    </xf>
    <xf numFmtId="0" fontId="39" fillId="3" borderId="2" xfId="13" applyFont="1" applyFill="1" applyBorder="1" applyAlignment="1">
      <alignment horizontal="center"/>
    </xf>
    <xf numFmtId="0" fontId="39" fillId="3" borderId="40" xfId="13" applyFont="1" applyFill="1" applyBorder="1" applyAlignment="1">
      <alignment horizontal="center" vertical="center"/>
    </xf>
    <xf numFmtId="49" fontId="39" fillId="3" borderId="40" xfId="13" applyNumberFormat="1" applyFont="1" applyFill="1" applyBorder="1" applyAlignment="1">
      <alignment horizontal="center" vertical="center"/>
    </xf>
    <xf numFmtId="49" fontId="39" fillId="3" borderId="10" xfId="13" applyNumberFormat="1" applyFont="1" applyFill="1" applyBorder="1" applyAlignment="1">
      <alignment horizontal="center" vertical="center"/>
    </xf>
    <xf numFmtId="49" fontId="40" fillId="0" borderId="20" xfId="13" applyNumberFormat="1" applyFont="1" applyBorder="1" applyAlignment="1">
      <alignment horizontal="center" vertical="center"/>
    </xf>
    <xf numFmtId="49" fontId="41" fillId="0" borderId="20" xfId="13" applyNumberFormat="1" applyFont="1" applyFill="1" applyBorder="1" applyAlignment="1">
      <alignment horizontal="left" vertical="center"/>
    </xf>
    <xf numFmtId="4" fontId="42" fillId="0" borderId="15" xfId="13" applyNumberFormat="1" applyFont="1" applyBorder="1" applyAlignment="1">
      <alignment horizontal="right" vertical="center"/>
    </xf>
    <xf numFmtId="10" fontId="42" fillId="0" borderId="15" xfId="13" applyNumberFormat="1" applyFont="1" applyBorder="1" applyAlignment="1">
      <alignment horizontal="right" vertical="center"/>
    </xf>
    <xf numFmtId="49" fontId="43" fillId="0" borderId="40" xfId="13" applyNumberFormat="1" applyFont="1" applyBorder="1" applyAlignment="1">
      <alignment horizontal="center" vertical="center"/>
    </xf>
    <xf numFmtId="10" fontId="42" fillId="0" borderId="40" xfId="13" applyNumberFormat="1" applyFont="1" applyBorder="1" applyAlignment="1">
      <alignment horizontal="center" vertical="center"/>
    </xf>
    <xf numFmtId="49" fontId="40" fillId="0" borderId="40" xfId="13" applyNumberFormat="1" applyFont="1" applyBorder="1" applyAlignment="1">
      <alignment horizontal="center" vertical="center"/>
    </xf>
    <xf numFmtId="49" fontId="41" fillId="0" borderId="40" xfId="13" applyNumberFormat="1" applyFont="1" applyFill="1" applyBorder="1" applyAlignment="1">
      <alignment horizontal="left" vertical="center"/>
    </xf>
    <xf numFmtId="4" fontId="42" fillId="0" borderId="40" xfId="13" applyNumberFormat="1" applyFont="1" applyBorder="1" applyAlignment="1">
      <alignment horizontal="right" vertical="center"/>
    </xf>
    <xf numFmtId="10" fontId="42" fillId="0" borderId="40" xfId="13" applyNumberFormat="1" applyFont="1" applyBorder="1" applyAlignment="1">
      <alignment horizontal="right" vertical="center"/>
    </xf>
    <xf numFmtId="4" fontId="44" fillId="0" borderId="40" xfId="13" applyNumberFormat="1" applyFont="1" applyBorder="1" applyAlignment="1">
      <alignment vertical="center"/>
    </xf>
    <xf numFmtId="49" fontId="41" fillId="0" borderId="20" xfId="13" applyNumberFormat="1" applyFont="1" applyFill="1" applyBorder="1" applyAlignment="1">
      <alignment horizontal="center" vertical="center"/>
    </xf>
    <xf numFmtId="49" fontId="41" fillId="0" borderId="20" xfId="13" applyNumberFormat="1" applyFont="1" applyFill="1" applyBorder="1" applyAlignment="1">
      <alignment horizontal="justify" vertical="center"/>
    </xf>
    <xf numFmtId="49" fontId="41" fillId="0" borderId="40" xfId="13" applyNumberFormat="1" applyFont="1" applyFill="1" applyBorder="1" applyAlignment="1">
      <alignment horizontal="center" vertical="center"/>
    </xf>
    <xf numFmtId="49" fontId="41" fillId="0" borderId="40" xfId="13" applyNumberFormat="1" applyFont="1" applyFill="1" applyBorder="1" applyAlignment="1">
      <alignment horizontal="justify" vertical="center"/>
    </xf>
    <xf numFmtId="4" fontId="42" fillId="0" borderId="20" xfId="13" applyNumberFormat="1" applyFont="1" applyBorder="1" applyAlignment="1">
      <alignment horizontal="right" vertical="center"/>
    </xf>
    <xf numFmtId="9" fontId="42" fillId="0" borderId="15" xfId="13" applyNumberFormat="1" applyFont="1" applyBorder="1" applyAlignment="1">
      <alignment horizontal="right" vertical="center"/>
    </xf>
    <xf numFmtId="9" fontId="42" fillId="0" borderId="40" xfId="13" applyNumberFormat="1" applyFont="1" applyBorder="1" applyAlignment="1">
      <alignment horizontal="right" vertical="center"/>
    </xf>
    <xf numFmtId="49" fontId="38" fillId="0" borderId="20" xfId="13" applyNumberFormat="1" applyFont="1" applyFill="1" applyBorder="1" applyAlignment="1">
      <alignment horizontal="center" vertical="center"/>
    </xf>
    <xf numFmtId="49" fontId="38" fillId="0" borderId="20" xfId="13" applyNumberFormat="1" applyFont="1" applyFill="1" applyBorder="1" applyAlignment="1">
      <alignment horizontal="justify" vertical="center"/>
    </xf>
    <xf numFmtId="10" fontId="42" fillId="0" borderId="20" xfId="13" applyNumberFormat="1" applyFont="1" applyBorder="1" applyAlignment="1">
      <alignment horizontal="right" vertical="center"/>
    </xf>
    <xf numFmtId="49" fontId="38" fillId="0" borderId="40" xfId="13" applyNumberFormat="1" applyFont="1" applyFill="1" applyBorder="1" applyAlignment="1">
      <alignment horizontal="center" vertical="center"/>
    </xf>
    <xf numFmtId="49" fontId="38" fillId="0" borderId="40" xfId="13" applyNumberFormat="1" applyFont="1" applyFill="1" applyBorder="1" applyAlignment="1">
      <alignment horizontal="justify" vertical="center"/>
    </xf>
    <xf numFmtId="49" fontId="38" fillId="0" borderId="20" xfId="13" applyNumberFormat="1" applyFont="1" applyFill="1" applyBorder="1" applyAlignment="1">
      <alignment horizontal="left" vertical="center"/>
    </xf>
    <xf numFmtId="49" fontId="38" fillId="0" borderId="40" xfId="13" applyNumberFormat="1" applyFont="1" applyFill="1" applyBorder="1" applyAlignment="1">
      <alignment horizontal="left" vertical="center"/>
    </xf>
    <xf numFmtId="49" fontId="38" fillId="0" borderId="88" xfId="13" applyNumberFormat="1" applyFont="1" applyFill="1" applyBorder="1" applyAlignment="1">
      <alignment horizontal="center" vertical="center"/>
    </xf>
    <xf numFmtId="49" fontId="38" fillId="0" borderId="88" xfId="13" applyNumberFormat="1" applyFont="1" applyFill="1" applyBorder="1" applyAlignment="1">
      <alignment horizontal="left" vertical="center"/>
    </xf>
    <xf numFmtId="4" fontId="42" fillId="0" borderId="88" xfId="13" applyNumberFormat="1" applyFont="1" applyBorder="1" applyAlignment="1">
      <alignment horizontal="right" vertical="center"/>
    </xf>
    <xf numFmtId="49" fontId="38" fillId="0" borderId="89" xfId="13" applyNumberFormat="1" applyFont="1" applyFill="1" applyBorder="1" applyAlignment="1">
      <alignment horizontal="center" vertical="center"/>
    </xf>
    <xf numFmtId="49" fontId="38" fillId="0" borderId="89" xfId="13" applyNumberFormat="1" applyFont="1" applyFill="1" applyBorder="1" applyAlignment="1">
      <alignment horizontal="left" vertical="center"/>
    </xf>
    <xf numFmtId="4" fontId="42" fillId="0" borderId="89" xfId="13" applyNumberFormat="1" applyFont="1" applyBorder="1" applyAlignment="1">
      <alignment horizontal="right" vertical="center"/>
    </xf>
    <xf numFmtId="10" fontId="42" fillId="0" borderId="88" xfId="13" applyNumberFormat="1" applyFont="1" applyBorder="1" applyAlignment="1">
      <alignment horizontal="right" vertical="center"/>
    </xf>
    <xf numFmtId="0" fontId="45" fillId="0" borderId="60" xfId="13" applyFont="1" applyBorder="1" applyAlignment="1">
      <alignment horizontal="left"/>
    </xf>
    <xf numFmtId="0" fontId="45" fillId="0" borderId="86" xfId="13" applyFont="1" applyBorder="1" applyAlignment="1">
      <alignment horizontal="left"/>
    </xf>
    <xf numFmtId="4" fontId="42" fillId="0" borderId="59" xfId="13" applyNumberFormat="1" applyFont="1" applyBorder="1"/>
    <xf numFmtId="10" fontId="42" fillId="0" borderId="70" xfId="13" applyNumberFormat="1" applyFont="1" applyBorder="1"/>
    <xf numFmtId="4" fontId="44" fillId="0" borderId="59" xfId="13" applyNumberFormat="1" applyFont="1" applyBorder="1"/>
    <xf numFmtId="0" fontId="45" fillId="0" borderId="11" xfId="13" applyFont="1" applyBorder="1" applyAlignment="1">
      <alignment horizontal="left"/>
    </xf>
    <xf numFmtId="0" fontId="45" fillId="0" borderId="2" xfId="13" applyFont="1" applyBorder="1" applyAlignment="1">
      <alignment horizontal="left"/>
    </xf>
    <xf numFmtId="4" fontId="44" fillId="0" borderId="2" xfId="13" applyNumberFormat="1" applyFont="1" applyBorder="1"/>
    <xf numFmtId="10" fontId="44" fillId="0" borderId="10" xfId="9" applyNumberFormat="1" applyFont="1" applyBorder="1"/>
    <xf numFmtId="4" fontId="45" fillId="0" borderId="2" xfId="13" applyNumberFormat="1" applyFont="1" applyBorder="1"/>
    <xf numFmtId="4" fontId="45" fillId="0" borderId="10" xfId="13" applyNumberFormat="1" applyFont="1" applyBorder="1"/>
    <xf numFmtId="10" fontId="45" fillId="0" borderId="10" xfId="9" applyNumberFormat="1" applyFont="1" applyBorder="1"/>
    <xf numFmtId="0" fontId="38" fillId="0" borderId="0" xfId="13" applyFont="1" applyFill="1" applyBorder="1" applyAlignment="1">
      <alignment horizontal="left"/>
    </xf>
    <xf numFmtId="0" fontId="2" fillId="0" borderId="27" xfId="13" applyFont="1" applyBorder="1"/>
    <xf numFmtId="10" fontId="1" fillId="0" borderId="27" xfId="13" applyNumberFormat="1" applyBorder="1"/>
    <xf numFmtId="0" fontId="1" fillId="0" borderId="27" xfId="13" applyBorder="1"/>
    <xf numFmtId="4" fontId="46" fillId="0" borderId="27" xfId="13" applyNumberFormat="1" applyFont="1" applyFill="1" applyBorder="1" applyAlignment="1">
      <alignment horizontal="center" vertical="center"/>
    </xf>
    <xf numFmtId="0" fontId="1" fillId="0" borderId="0" xfId="13" applyFont="1" applyFill="1"/>
    <xf numFmtId="4" fontId="46" fillId="0" borderId="27" xfId="13" applyNumberFormat="1" applyFont="1" applyFill="1" applyBorder="1" applyAlignment="1">
      <alignment horizontal="center" vertical="center"/>
    </xf>
  </cellXfs>
  <cellStyles count="14">
    <cellStyle name="Moeda 2" xfId="1"/>
    <cellStyle name="Moeda 2 2" xfId="7"/>
    <cellStyle name="Moeda_Composicao BDI v2.1" xfId="12"/>
    <cellStyle name="Normal" xfId="0" builtinId="0"/>
    <cellStyle name="Normal 2" xfId="2"/>
    <cellStyle name="Normal 2 2" xfId="8"/>
    <cellStyle name="Normal 3" xfId="13"/>
    <cellStyle name="Normal_FICHA DE VERIFICAÇÃO PRELIMINAR - Plano R" xfId="11"/>
    <cellStyle name="Porcentagem" xfId="3" builtinId="5"/>
    <cellStyle name="Porcentagem 2" xfId="4"/>
    <cellStyle name="Porcentagem 2 2" xfId="9"/>
    <cellStyle name="Vírgula" xfId="5" builtinId="3"/>
    <cellStyle name="Vírgula 2" xfId="6"/>
    <cellStyle name="Vírgula 2 2" xfId="1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0659" name="Oval 1"/>
        <xdr:cNvSpPr>
          <a:spLocks noChangeArrowheads="1"/>
        </xdr:cNvSpPr>
      </xdr:nvSpPr>
      <xdr:spPr bwMode="auto">
        <a:xfrm>
          <a:off x="8086725" y="20764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0" name="Desenhando 59"/>
        <xdr:cNvSpPr>
          <a:spLocks/>
        </xdr:cNvSpPr>
      </xdr:nvSpPr>
      <xdr:spPr bwMode="auto">
        <a:xfrm>
          <a:off x="9620250" y="2076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1" name="Rectangle 3"/>
        <xdr:cNvSpPr>
          <a:spLocks noChangeArrowheads="1"/>
        </xdr:cNvSpPr>
      </xdr:nvSpPr>
      <xdr:spPr bwMode="auto">
        <a:xfrm>
          <a:off x="9620250" y="2076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35719</xdr:colOff>
      <xdr:row>0</xdr:row>
      <xdr:rowOff>35719</xdr:rowOff>
    </xdr:from>
    <xdr:to>
      <xdr:col>4</xdr:col>
      <xdr:colOff>516732</xdr:colOff>
      <xdr:row>3</xdr:row>
      <xdr:rowOff>50006</xdr:rowOff>
    </xdr:to>
    <xdr:pic>
      <xdr:nvPicPr>
        <xdr:cNvPr id="6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5719"/>
          <a:ext cx="1790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sp macro="" textlink="">
      <xdr:nvSpPr>
        <xdr:cNvPr id="2" name="Object 476" hidden="1">
          <a:extLst>
            <a:ext uri="{63B3BB69-23CF-44E3-9099-C40C66FF867C}">
              <a14:compatExt xmlns:a14="http://schemas.microsoft.com/office/drawing/2010/main" spid="_x0000_s156124"/>
            </a:ext>
          </a:extLst>
        </xdr:cNvPr>
        <xdr:cNvSpPr/>
      </xdr:nvSpPr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0</xdr:row>
          <xdr:rowOff>0</xdr:rowOff>
        </xdr:from>
        <xdr:to>
          <xdr:col>18</xdr:col>
          <xdr:colOff>19050</xdr:colOff>
          <xdr:row>1</xdr:row>
          <xdr:rowOff>133350</xdr:rowOff>
        </xdr:to>
        <xdr:pic>
          <xdr:nvPicPr>
            <xdr:cNvPr id="3" name="SigiloPic"/>
            <xdr:cNvPicPr>
              <a:picLocks noChangeArrowheads="1"/>
              <a:extLst>
                <a:ext uri="{84589F7E-364E-4C9E-8A38-B11213B215E9}">
                  <a14:cameraTool cellRange="[1]PO!$T$1:$T$2" spid="_x0000_s45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43550" y="0"/>
              <a:ext cx="1047750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pic>
      <xdr:nvPicPr>
        <xdr:cNvPr id="4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NGENHARIA\Desktop\Modelo%20Planilha%20CAIXA%20-%20MO27476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 refreshError="1">
        <row r="29">
          <cell r="A29">
            <v>0</v>
          </cell>
          <cell r="P29" t="str">
            <v xml:space="preserve">PAVIMENTAÇÃO </v>
          </cell>
        </row>
        <row r="32">
          <cell r="A32" t="str">
            <v>PREFEITURA MUNICPAL DE PAPAGAIOS</v>
          </cell>
        </row>
        <row r="38">
          <cell r="C38" t="str">
            <v>Sim</v>
          </cell>
        </row>
        <row r="54">
          <cell r="B54" t="str">
            <v>IRLEY GERALDO ALVES VIEIRA</v>
          </cell>
        </row>
        <row r="55">
          <cell r="B55" t="str">
            <v>ENGENHEIRO CIVIL</v>
          </cell>
        </row>
        <row r="56">
          <cell r="A56" t="str">
            <v>CREA/CAU:</v>
          </cell>
          <cell r="B56" t="str">
            <v>175.870/D</v>
          </cell>
        </row>
        <row r="57">
          <cell r="A57" t="str">
            <v>ART/RRT:</v>
          </cell>
        </row>
      </sheetData>
      <sheetData sheetId="1" refreshError="1"/>
      <sheetData sheetId="2" refreshError="1">
        <row r="45">
          <cell r="K45" t="str">
            <v>PAPAGAIOS / MG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2"/>
  <sheetViews>
    <sheetView topLeftCell="A38" zoomScale="82" zoomScaleNormal="82" workbookViewId="0">
      <selection activeCell="AH34" sqref="AH34:AM34"/>
    </sheetView>
  </sheetViews>
  <sheetFormatPr defaultColWidth="9.140625" defaultRowHeight="12" x14ac:dyDescent="0.2"/>
  <cols>
    <col min="1" max="1" width="5.42578125" style="94" customWidth="1"/>
    <col min="2" max="2" width="7.28515625" style="94" customWidth="1"/>
    <col min="3" max="3" width="5.85546875" style="94" customWidth="1"/>
    <col min="4" max="4" width="6.42578125" style="94" customWidth="1"/>
    <col min="5" max="5" width="11.7109375" style="95" customWidth="1"/>
    <col min="6" max="6" width="4.42578125" style="95" customWidth="1"/>
    <col min="7" max="10" width="3.28515625" style="95" customWidth="1"/>
    <col min="11" max="14" width="3.28515625" style="51" customWidth="1"/>
    <col min="15" max="15" width="3.140625" style="51" customWidth="1"/>
    <col min="16" max="16" width="3.28515625" style="51" customWidth="1"/>
    <col min="17" max="17" width="22" style="51" customWidth="1"/>
    <col min="18" max="18" width="2.42578125" style="51" hidden="1" customWidth="1"/>
    <col min="19" max="19" width="3.28515625" style="51" customWidth="1"/>
    <col min="20" max="20" width="4.5703125" style="51" customWidth="1"/>
    <col min="21" max="21" width="3.28515625" style="51" customWidth="1"/>
    <col min="22" max="22" width="3.85546875" style="51" customWidth="1"/>
    <col min="23" max="23" width="9" style="51" customWidth="1"/>
    <col min="24" max="25" width="3.28515625" style="51" customWidth="1"/>
    <col min="26" max="26" width="9.5703125" style="51" customWidth="1"/>
    <col min="27" max="27" width="3.28515625" style="51" customWidth="1"/>
    <col min="28" max="28" width="2.7109375" style="51" customWidth="1"/>
    <col min="29" max="29" width="2.140625" style="51" hidden="1" customWidth="1"/>
    <col min="30" max="30" width="12.5703125" style="51" customWidth="1"/>
    <col min="31" max="32" width="3.28515625" style="51" customWidth="1"/>
    <col min="33" max="33" width="8" style="51" customWidth="1"/>
    <col min="34" max="38" width="3.28515625" style="51" customWidth="1"/>
    <col min="39" max="39" width="6.5703125" style="51" customWidth="1"/>
    <col min="40" max="40" width="4.85546875" style="51" hidden="1" customWidth="1"/>
    <col min="41" max="41" width="3.28515625" style="51" customWidth="1"/>
    <col min="42" max="42" width="11.28515625" style="51" customWidth="1"/>
    <col min="43" max="43" width="3.28515625" style="51" customWidth="1"/>
    <col min="44" max="44" width="11" style="51" bestFit="1" customWidth="1"/>
    <col min="45" max="45" width="6.85546875" style="51" customWidth="1"/>
    <col min="46" max="46" width="4.42578125" style="52" customWidth="1"/>
    <col min="47" max="47" width="7.140625" style="51" customWidth="1"/>
    <col min="48" max="48" width="3.28515625" style="51" customWidth="1"/>
    <col min="49" max="49" width="11.5703125" style="51" customWidth="1"/>
    <col min="50" max="55" width="3.28515625" style="51" customWidth="1"/>
    <col min="56" max="16384" width="9.140625" style="51"/>
  </cols>
  <sheetData>
    <row r="1" spans="1:46" ht="6.75" customHeight="1" x14ac:dyDescent="0.2">
      <c r="A1" s="232"/>
      <c r="B1" s="233"/>
      <c r="C1" s="233"/>
      <c r="D1" s="233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5"/>
    </row>
    <row r="2" spans="1:46" ht="12.75" customHeight="1" x14ac:dyDescent="0.2">
      <c r="A2" s="441" t="s">
        <v>34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3"/>
    </row>
    <row r="3" spans="1:46" ht="12" customHeight="1" x14ac:dyDescent="0.2">
      <c r="A3" s="441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3"/>
    </row>
    <row r="4" spans="1:46" ht="4.5" customHeight="1" x14ac:dyDescent="0.2">
      <c r="A4" s="236"/>
      <c r="B4" s="50"/>
      <c r="C4" s="50"/>
      <c r="D4" s="50"/>
      <c r="E4" s="50"/>
      <c r="F4" s="50"/>
      <c r="G4" s="50"/>
      <c r="H4" s="237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238"/>
    </row>
    <row r="5" spans="1:46" s="53" customFormat="1" ht="13.5" customHeight="1" x14ac:dyDescent="0.2">
      <c r="A5" s="444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183"/>
      <c r="Z5" s="183"/>
      <c r="AA5" s="183"/>
      <c r="AB5" s="183"/>
      <c r="AC5" s="183"/>
      <c r="AD5" s="446"/>
      <c r="AE5" s="446"/>
      <c r="AF5" s="446"/>
      <c r="AG5" s="446"/>
      <c r="AH5" s="446"/>
      <c r="AI5" s="446"/>
      <c r="AJ5" s="446"/>
      <c r="AK5" s="446"/>
      <c r="AL5" s="446"/>
      <c r="AM5" s="447"/>
      <c r="AT5" s="54"/>
    </row>
    <row r="6" spans="1:46" ht="5.25" customHeight="1" x14ac:dyDescent="0.2">
      <c r="A6" s="239"/>
      <c r="B6" s="55"/>
      <c r="C6" s="55"/>
      <c r="D6" s="55"/>
      <c r="E6" s="55"/>
      <c r="F6" s="55"/>
      <c r="G6" s="55"/>
      <c r="H6" s="55"/>
      <c r="I6" s="55"/>
      <c r="J6" s="55"/>
      <c r="K6" s="62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38"/>
    </row>
    <row r="7" spans="1:46" s="57" customFormat="1" ht="12" customHeight="1" x14ac:dyDescent="0.2">
      <c r="A7" s="240" t="s">
        <v>35</v>
      </c>
      <c r="B7" s="49"/>
      <c r="C7" s="49"/>
      <c r="D7" s="49"/>
      <c r="E7" s="49"/>
      <c r="F7" s="49"/>
      <c r="G7" s="49"/>
      <c r="H7" s="49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49"/>
      <c r="AA7" s="49"/>
      <c r="AB7" s="50"/>
      <c r="AC7" s="50"/>
      <c r="AD7" s="56" t="s">
        <v>36</v>
      </c>
      <c r="AE7" s="50"/>
      <c r="AF7" s="50"/>
      <c r="AG7" s="50"/>
      <c r="AH7" s="50"/>
      <c r="AI7" s="50"/>
      <c r="AJ7" s="50"/>
      <c r="AK7" s="50"/>
      <c r="AL7" s="50"/>
      <c r="AM7" s="238"/>
      <c r="AT7" s="58"/>
    </row>
    <row r="8" spans="1:46" s="57" customFormat="1" ht="14.1" customHeight="1" x14ac:dyDescent="0.2">
      <c r="A8" s="448" t="s">
        <v>130</v>
      </c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50"/>
      <c r="AD8" s="451" t="s">
        <v>204</v>
      </c>
      <c r="AE8" s="452"/>
      <c r="AF8" s="452"/>
      <c r="AG8" s="452"/>
      <c r="AH8" s="452"/>
      <c r="AI8" s="452"/>
      <c r="AJ8" s="452"/>
      <c r="AK8" s="452"/>
      <c r="AL8" s="452"/>
      <c r="AM8" s="453"/>
      <c r="AT8" s="58"/>
    </row>
    <row r="9" spans="1:46" s="60" customFormat="1" ht="5.25" customHeight="1" x14ac:dyDescent="0.2">
      <c r="A9" s="241"/>
      <c r="B9" s="59"/>
      <c r="C9" s="59"/>
      <c r="D9" s="59"/>
      <c r="E9" s="59"/>
      <c r="F9" s="59"/>
      <c r="G9" s="59"/>
      <c r="H9" s="59"/>
      <c r="I9" s="59"/>
      <c r="J9" s="59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242"/>
      <c r="AT9" s="61"/>
    </row>
    <row r="10" spans="1:46" s="57" customFormat="1" ht="12" customHeight="1" x14ac:dyDescent="0.2">
      <c r="A10" s="240" t="s">
        <v>37</v>
      </c>
      <c r="B10" s="49"/>
      <c r="C10" s="49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6" t="s">
        <v>38</v>
      </c>
      <c r="X10" s="50"/>
      <c r="Y10" s="49"/>
      <c r="Z10" s="49"/>
      <c r="AA10" s="49"/>
      <c r="AB10" s="49"/>
      <c r="AC10" s="49"/>
      <c r="AD10" s="50"/>
      <c r="AE10" s="49"/>
      <c r="AF10" s="62"/>
      <c r="AG10" s="50"/>
      <c r="AH10" s="50"/>
      <c r="AI10" s="50"/>
      <c r="AJ10" s="50"/>
      <c r="AK10" s="227"/>
      <c r="AL10" s="63" t="s">
        <v>39</v>
      </c>
      <c r="AM10" s="243"/>
      <c r="AT10" s="58"/>
    </row>
    <row r="11" spans="1:46" ht="34.5" customHeight="1" x14ac:dyDescent="0.2">
      <c r="A11" s="454" t="s">
        <v>94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6"/>
      <c r="W11" s="457" t="s">
        <v>105</v>
      </c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50"/>
      <c r="AL11" s="458" t="s">
        <v>40</v>
      </c>
      <c r="AM11" s="459"/>
    </row>
    <row r="12" spans="1:46" s="60" customFormat="1" ht="6.75" customHeight="1" x14ac:dyDescent="0.2">
      <c r="A12" s="241"/>
      <c r="B12" s="59"/>
      <c r="C12" s="59"/>
      <c r="D12" s="59"/>
      <c r="E12" s="59"/>
      <c r="F12" s="59"/>
      <c r="G12" s="59"/>
      <c r="H12" s="59"/>
      <c r="I12" s="59"/>
      <c r="J12" s="59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50"/>
      <c r="AL12" s="50"/>
      <c r="AM12" s="238"/>
      <c r="AT12" s="61"/>
    </row>
    <row r="13" spans="1:46" s="57" customFormat="1" ht="12" customHeight="1" x14ac:dyDescent="0.2">
      <c r="A13" s="236" t="s">
        <v>41</v>
      </c>
      <c r="B13" s="50"/>
      <c r="C13" s="50"/>
      <c r="D13" s="50"/>
      <c r="E13" s="49"/>
      <c r="F13" s="49"/>
      <c r="G13" s="49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6" t="s">
        <v>42</v>
      </c>
      <c r="X13" s="50"/>
      <c r="Y13" s="50"/>
      <c r="Z13" s="49"/>
      <c r="AA13" s="50"/>
      <c r="AB13" s="50"/>
      <c r="AC13" s="50"/>
      <c r="AD13" s="50"/>
      <c r="AE13" s="50"/>
      <c r="AF13" s="56" t="s">
        <v>43</v>
      </c>
      <c r="AG13" s="50"/>
      <c r="AH13" s="50"/>
      <c r="AI13" s="49"/>
      <c r="AJ13" s="50"/>
      <c r="AK13" s="50"/>
      <c r="AL13" s="50"/>
      <c r="AM13" s="238"/>
      <c r="AT13" s="58"/>
    </row>
    <row r="14" spans="1:46" s="57" customFormat="1" ht="21" customHeight="1" x14ac:dyDescent="0.2">
      <c r="A14" s="493" t="s">
        <v>104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5"/>
      <c r="W14" s="496" t="s">
        <v>194</v>
      </c>
      <c r="X14" s="497"/>
      <c r="Y14" s="497"/>
      <c r="Z14" s="497"/>
      <c r="AA14" s="497"/>
      <c r="AB14" s="497"/>
      <c r="AC14" s="497"/>
      <c r="AD14" s="497"/>
      <c r="AE14" s="498"/>
      <c r="AF14" s="499">
        <v>43862</v>
      </c>
      <c r="AG14" s="500"/>
      <c r="AH14" s="500"/>
      <c r="AI14" s="500"/>
      <c r="AJ14" s="500"/>
      <c r="AK14" s="500"/>
      <c r="AL14" s="500"/>
      <c r="AM14" s="501"/>
      <c r="AT14" s="58"/>
    </row>
    <row r="15" spans="1:46" ht="6" customHeight="1" x14ac:dyDescent="0.2">
      <c r="A15" s="244"/>
      <c r="B15" s="219"/>
      <c r="C15" s="219"/>
      <c r="D15" s="219"/>
      <c r="E15" s="219"/>
      <c r="F15" s="219"/>
      <c r="G15" s="219"/>
      <c r="H15" s="219"/>
      <c r="I15" s="219"/>
      <c r="J15" s="219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45"/>
    </row>
    <row r="16" spans="1:46" ht="11.25" customHeight="1" x14ac:dyDescent="0.2">
      <c r="A16" s="246" t="s">
        <v>44</v>
      </c>
      <c r="B16" s="221"/>
      <c r="C16" s="221"/>
      <c r="D16" s="221"/>
      <c r="E16" s="221"/>
      <c r="F16" s="223" t="s">
        <v>191</v>
      </c>
      <c r="G16" s="221"/>
      <c r="H16" s="221"/>
      <c r="I16" s="221"/>
      <c r="J16" s="221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47"/>
      <c r="AN16" s="65" t="b">
        <v>0</v>
      </c>
    </row>
    <row r="17" spans="1:51" ht="6.75" customHeight="1" x14ac:dyDescent="0.2">
      <c r="A17" s="240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238"/>
    </row>
    <row r="18" spans="1:51" ht="12.6" customHeight="1" x14ac:dyDescent="0.2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4"/>
      <c r="P18" s="502" t="s">
        <v>45</v>
      </c>
      <c r="Q18" s="503"/>
      <c r="R18" s="503"/>
      <c r="S18" s="503"/>
      <c r="T18" s="503"/>
      <c r="U18" s="503"/>
      <c r="V18" s="503"/>
      <c r="W18" s="503"/>
      <c r="X18" s="504" t="s">
        <v>46</v>
      </c>
      <c r="Y18" s="505"/>
      <c r="Z18" s="505"/>
      <c r="AA18" s="505"/>
      <c r="AB18" s="505"/>
      <c r="AC18" s="505"/>
      <c r="AD18" s="505"/>
      <c r="AE18" s="505"/>
      <c r="AF18" s="505"/>
      <c r="AG18" s="505"/>
      <c r="AH18" s="506"/>
      <c r="AI18" s="510">
        <v>0.2631</v>
      </c>
      <c r="AJ18" s="511"/>
      <c r="AK18" s="511"/>
      <c r="AL18" s="511"/>
      <c r="AM18" s="512"/>
    </row>
    <row r="19" spans="1:51" ht="12.6" customHeight="1" x14ac:dyDescent="0.2">
      <c r="A19" s="535"/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7"/>
      <c r="P19" s="481"/>
      <c r="Q19" s="482"/>
      <c r="R19" s="482"/>
      <c r="S19" s="482"/>
      <c r="T19" s="482"/>
      <c r="U19" s="482"/>
      <c r="V19" s="482"/>
      <c r="W19" s="482"/>
      <c r="X19" s="507"/>
      <c r="Y19" s="508"/>
      <c r="Z19" s="508"/>
      <c r="AA19" s="508"/>
      <c r="AB19" s="508"/>
      <c r="AC19" s="508"/>
      <c r="AD19" s="508"/>
      <c r="AE19" s="508"/>
      <c r="AF19" s="508"/>
      <c r="AG19" s="508"/>
      <c r="AH19" s="509"/>
      <c r="AI19" s="513"/>
      <c r="AJ19" s="514"/>
      <c r="AK19" s="514"/>
      <c r="AL19" s="514"/>
      <c r="AM19" s="515"/>
    </row>
    <row r="20" spans="1:51" ht="17.25" hidden="1" customHeight="1" x14ac:dyDescent="0.2">
      <c r="A20" s="248" t="s">
        <v>47</v>
      </c>
      <c r="B20" s="66"/>
      <c r="C20" s="66"/>
      <c r="D20" s="66"/>
      <c r="E20" s="66"/>
      <c r="F20" s="66"/>
      <c r="G20" s="66"/>
      <c r="H20" s="66"/>
      <c r="I20" s="66"/>
      <c r="J20" s="67" t="s">
        <v>48</v>
      </c>
      <c r="K20" s="470">
        <v>3.2000000000000002E-3</v>
      </c>
      <c r="L20" s="470"/>
      <c r="M20" s="68" t="s">
        <v>49</v>
      </c>
      <c r="N20" s="470">
        <v>7.4000000000000003E-3</v>
      </c>
      <c r="O20" s="471"/>
      <c r="P20" s="69" t="s">
        <v>50</v>
      </c>
      <c r="Q20" s="70"/>
      <c r="R20" s="70"/>
      <c r="S20" s="70"/>
      <c r="T20" s="70"/>
      <c r="U20" s="70"/>
      <c r="V20" s="472">
        <v>7.1999999999999998E-3</v>
      </c>
      <c r="W20" s="473"/>
      <c r="X20" s="460" t="s">
        <v>125</v>
      </c>
      <c r="Y20" s="460"/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60"/>
      <c r="AK20" s="460"/>
      <c r="AL20" s="460"/>
      <c r="AM20" s="461"/>
      <c r="AR20" s="52"/>
      <c r="AT20" s="51"/>
    </row>
    <row r="21" spans="1:51" ht="17.25" hidden="1" customHeight="1" x14ac:dyDescent="0.2">
      <c r="A21" s="249" t="s">
        <v>51</v>
      </c>
      <c r="B21" s="71"/>
      <c r="C21" s="71"/>
      <c r="D21" s="71"/>
      <c r="E21" s="71"/>
      <c r="F21" s="71"/>
      <c r="G21" s="71"/>
      <c r="H21" s="71"/>
      <c r="I21" s="71"/>
      <c r="J21" s="72" t="s">
        <v>48</v>
      </c>
      <c r="K21" s="466">
        <v>5.0000000000000001E-3</v>
      </c>
      <c r="L21" s="466"/>
      <c r="M21" s="73" t="s">
        <v>49</v>
      </c>
      <c r="N21" s="466">
        <v>9.7000000000000003E-3</v>
      </c>
      <c r="O21" s="467"/>
      <c r="P21" s="74" t="s">
        <v>52</v>
      </c>
      <c r="Q21" s="75"/>
      <c r="R21" s="75"/>
      <c r="S21" s="75"/>
      <c r="T21" s="75"/>
      <c r="U21" s="75"/>
      <c r="V21" s="468">
        <v>9.5999999999999992E-3</v>
      </c>
      <c r="W21" s="469"/>
      <c r="X21" s="462"/>
      <c r="Y21" s="462"/>
      <c r="Z21" s="462"/>
      <c r="AA21" s="462"/>
      <c r="AB21" s="462"/>
      <c r="AC21" s="462"/>
      <c r="AD21" s="462"/>
      <c r="AE21" s="462"/>
      <c r="AF21" s="462"/>
      <c r="AG21" s="462"/>
      <c r="AH21" s="462"/>
      <c r="AI21" s="462"/>
      <c r="AJ21" s="462"/>
      <c r="AK21" s="462"/>
      <c r="AL21" s="462"/>
      <c r="AM21" s="463"/>
      <c r="AR21" s="52"/>
      <c r="AT21" s="51"/>
    </row>
    <row r="22" spans="1:51" ht="17.25" hidden="1" customHeight="1" x14ac:dyDescent="0.2">
      <c r="A22" s="249" t="s">
        <v>53</v>
      </c>
      <c r="B22" s="71"/>
      <c r="C22" s="71"/>
      <c r="D22" s="71"/>
      <c r="E22" s="71"/>
      <c r="F22" s="71"/>
      <c r="G22" s="71"/>
      <c r="H22" s="71"/>
      <c r="I22" s="71"/>
      <c r="J22" s="72" t="s">
        <v>48</v>
      </c>
      <c r="K22" s="466">
        <v>1.0200000000000001E-2</v>
      </c>
      <c r="L22" s="466"/>
      <c r="M22" s="73" t="s">
        <v>49</v>
      </c>
      <c r="N22" s="466">
        <v>1.21E-2</v>
      </c>
      <c r="O22" s="467"/>
      <c r="P22" s="74" t="s">
        <v>54</v>
      </c>
      <c r="Q22" s="75"/>
      <c r="R22" s="75"/>
      <c r="S22" s="75"/>
      <c r="T22" s="75"/>
      <c r="U22" s="75"/>
      <c r="V22" s="468">
        <v>1.21E-2</v>
      </c>
      <c r="W22" s="469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2"/>
      <c r="AL22" s="462"/>
      <c r="AM22" s="463"/>
      <c r="AR22" s="52"/>
      <c r="AT22" s="51"/>
    </row>
    <row r="23" spans="1:51" ht="17.25" hidden="1" customHeight="1" x14ac:dyDescent="0.2">
      <c r="A23" s="249" t="s">
        <v>55</v>
      </c>
      <c r="B23" s="71"/>
      <c r="C23" s="71"/>
      <c r="D23" s="71"/>
      <c r="E23" s="71"/>
      <c r="F23" s="71"/>
      <c r="G23" s="71"/>
      <c r="H23" s="71"/>
      <c r="I23" s="71"/>
      <c r="J23" s="72" t="s">
        <v>48</v>
      </c>
      <c r="K23" s="466">
        <v>3.7999999999999999E-2</v>
      </c>
      <c r="L23" s="466"/>
      <c r="M23" s="73" t="s">
        <v>49</v>
      </c>
      <c r="N23" s="466">
        <v>4.6699999999999998E-2</v>
      </c>
      <c r="O23" s="467"/>
      <c r="P23" s="74" t="s">
        <v>56</v>
      </c>
      <c r="Q23" s="75"/>
      <c r="R23" s="75"/>
      <c r="S23" s="75"/>
      <c r="T23" s="75"/>
      <c r="U23" s="75"/>
      <c r="V23" s="468">
        <v>4.6699999999999998E-2</v>
      </c>
      <c r="W23" s="469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3"/>
      <c r="AR23" s="52"/>
      <c r="AT23" s="51"/>
    </row>
    <row r="24" spans="1:51" ht="17.25" hidden="1" customHeight="1" x14ac:dyDescent="0.2">
      <c r="A24" s="249" t="s">
        <v>57</v>
      </c>
      <c r="B24" s="71"/>
      <c r="C24" s="71"/>
      <c r="D24" s="71"/>
      <c r="E24" s="71"/>
      <c r="F24" s="71"/>
      <c r="G24" s="71"/>
      <c r="H24" s="71"/>
      <c r="I24" s="71"/>
      <c r="J24" s="72" t="s">
        <v>48</v>
      </c>
      <c r="K24" s="466">
        <v>6.6400000000000001E-2</v>
      </c>
      <c r="L24" s="466"/>
      <c r="M24" s="73" t="s">
        <v>49</v>
      </c>
      <c r="N24" s="466">
        <v>8.6900000000000005E-2</v>
      </c>
      <c r="O24" s="467"/>
      <c r="P24" s="74" t="s">
        <v>58</v>
      </c>
      <c r="Q24" s="75"/>
      <c r="R24" s="75"/>
      <c r="S24" s="75"/>
      <c r="T24" s="75"/>
      <c r="U24" s="75"/>
      <c r="V24" s="468">
        <v>8.6900000000000005E-2</v>
      </c>
      <c r="W24" s="469"/>
      <c r="X24" s="462"/>
      <c r="Y24" s="462"/>
      <c r="Z24" s="462"/>
      <c r="AA24" s="462"/>
      <c r="AB24" s="462"/>
      <c r="AC24" s="462"/>
      <c r="AD24" s="462"/>
      <c r="AE24" s="462"/>
      <c r="AF24" s="462"/>
      <c r="AG24" s="462"/>
      <c r="AH24" s="462"/>
      <c r="AI24" s="462"/>
      <c r="AJ24" s="462"/>
      <c r="AK24" s="462"/>
      <c r="AL24" s="462"/>
      <c r="AM24" s="463"/>
      <c r="AT24" s="51"/>
    </row>
    <row r="25" spans="1:51" ht="17.25" hidden="1" customHeight="1" x14ac:dyDescent="0.2">
      <c r="A25" s="250" t="s">
        <v>59</v>
      </c>
      <c r="B25" s="76"/>
      <c r="C25" s="172" t="s">
        <v>69</v>
      </c>
      <c r="D25" s="172" t="s">
        <v>72</v>
      </c>
      <c r="E25" s="77" t="s">
        <v>73</v>
      </c>
      <c r="F25" s="173">
        <v>0.02</v>
      </c>
      <c r="G25" s="76"/>
      <c r="H25" s="76"/>
      <c r="I25" s="76"/>
      <c r="J25" s="488">
        <v>7.6499999999999999E-2</v>
      </c>
      <c r="K25" s="489"/>
      <c r="L25" s="489"/>
      <c r="M25" s="489"/>
      <c r="N25" s="489"/>
      <c r="O25" s="490"/>
      <c r="P25" s="78" t="s">
        <v>60</v>
      </c>
      <c r="Q25" s="79"/>
      <c r="R25" s="79"/>
      <c r="S25" s="79"/>
      <c r="T25" s="79"/>
      <c r="U25" s="79"/>
      <c r="V25" s="491">
        <v>7.6499999999999999E-2</v>
      </c>
      <c r="W25" s="492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  <c r="AM25" s="465"/>
      <c r="AT25" s="51"/>
    </row>
    <row r="26" spans="1:51" ht="6" customHeight="1" x14ac:dyDescent="0.2">
      <c r="A26" s="240"/>
      <c r="B26" s="49"/>
      <c r="C26" s="49"/>
      <c r="D26" s="49"/>
      <c r="E26" s="49"/>
      <c r="F26" s="49"/>
      <c r="G26" s="49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238"/>
    </row>
    <row r="27" spans="1:51" ht="12" customHeight="1" x14ac:dyDescent="0.2">
      <c r="A27" s="516" t="s">
        <v>0</v>
      </c>
      <c r="B27" s="80"/>
      <c r="C27" s="81"/>
      <c r="D27" s="82"/>
      <c r="E27" s="81"/>
      <c r="F27" s="502" t="s">
        <v>61</v>
      </c>
      <c r="G27" s="503"/>
      <c r="H27" s="503"/>
      <c r="I27" s="503"/>
      <c r="J27" s="503"/>
      <c r="K27" s="503"/>
      <c r="L27" s="503"/>
      <c r="M27" s="503"/>
      <c r="N27" s="503"/>
      <c r="O27" s="503"/>
      <c r="P27" s="503"/>
      <c r="Q27" s="503"/>
      <c r="R27" s="519"/>
      <c r="S27" s="502" t="s">
        <v>62</v>
      </c>
      <c r="T27" s="519"/>
      <c r="U27" s="523" t="s">
        <v>63</v>
      </c>
      <c r="V27" s="524"/>
      <c r="W27" s="525"/>
      <c r="X27" s="477" t="s">
        <v>64</v>
      </c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480"/>
      <c r="AR27" s="474" t="s">
        <v>65</v>
      </c>
      <c r="AS27" s="474"/>
    </row>
    <row r="28" spans="1:51" ht="12" customHeight="1" x14ac:dyDescent="0.2">
      <c r="A28" s="517"/>
      <c r="B28" s="84" t="s">
        <v>1</v>
      </c>
      <c r="C28" s="85"/>
      <c r="D28" s="475" t="s">
        <v>66</v>
      </c>
      <c r="E28" s="476"/>
      <c r="F28" s="520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2"/>
      <c r="S28" s="520"/>
      <c r="T28" s="522"/>
      <c r="U28" s="526"/>
      <c r="V28" s="527"/>
      <c r="W28" s="528"/>
      <c r="X28" s="477" t="s">
        <v>67</v>
      </c>
      <c r="Y28" s="478"/>
      <c r="Z28" s="478"/>
      <c r="AA28" s="478"/>
      <c r="AB28" s="478"/>
      <c r="AC28" s="478"/>
      <c r="AD28" s="478"/>
      <c r="AE28" s="479" t="s">
        <v>68</v>
      </c>
      <c r="AF28" s="478"/>
      <c r="AG28" s="478"/>
      <c r="AH28" s="478"/>
      <c r="AI28" s="478"/>
      <c r="AJ28" s="478"/>
      <c r="AK28" s="478"/>
      <c r="AL28" s="478"/>
      <c r="AM28" s="480"/>
      <c r="AR28" s="83" t="s">
        <v>69</v>
      </c>
      <c r="AS28" s="86">
        <v>0.02</v>
      </c>
    </row>
    <row r="29" spans="1:51" ht="12" customHeight="1" x14ac:dyDescent="0.2">
      <c r="A29" s="518"/>
      <c r="B29" s="87"/>
      <c r="C29" s="88"/>
      <c r="D29" s="89"/>
      <c r="E29" s="88"/>
      <c r="F29" s="481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3"/>
      <c r="S29" s="481"/>
      <c r="T29" s="483"/>
      <c r="U29" s="529"/>
      <c r="V29" s="530"/>
      <c r="W29" s="531"/>
      <c r="X29" s="481" t="s">
        <v>70</v>
      </c>
      <c r="Y29" s="482"/>
      <c r="Z29" s="483"/>
      <c r="AA29" s="481" t="s">
        <v>71</v>
      </c>
      <c r="AB29" s="482"/>
      <c r="AC29" s="482"/>
      <c r="AD29" s="482"/>
      <c r="AE29" s="484" t="s">
        <v>70</v>
      </c>
      <c r="AF29" s="482"/>
      <c r="AG29" s="483"/>
      <c r="AH29" s="485" t="s">
        <v>71</v>
      </c>
      <c r="AI29" s="486"/>
      <c r="AJ29" s="486"/>
      <c r="AK29" s="486"/>
      <c r="AL29" s="486"/>
      <c r="AM29" s="487"/>
      <c r="AR29" s="83" t="s">
        <v>72</v>
      </c>
      <c r="AS29" s="86">
        <v>6.4999999999999997E-3</v>
      </c>
    </row>
    <row r="30" spans="1:51" x14ac:dyDescent="0.2">
      <c r="A30" s="262">
        <f>MEMORIA!A10</f>
        <v>1</v>
      </c>
      <c r="B30" s="419"/>
      <c r="C30" s="420"/>
      <c r="D30" s="419"/>
      <c r="E30" s="420"/>
      <c r="F30" s="421" t="str">
        <f>MEMORIA!B10</f>
        <v>SERVIÇOS PRELIMINARES</v>
      </c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3"/>
      <c r="S30" s="424"/>
      <c r="T30" s="425"/>
      <c r="U30" s="360"/>
      <c r="V30" s="361"/>
      <c r="W30" s="362"/>
      <c r="X30" s="426"/>
      <c r="Y30" s="427"/>
      <c r="Z30" s="428"/>
      <c r="AA30" s="429" t="str">
        <f>IF(S30="","",ROUND(U30*X30,2))</f>
        <v/>
      </c>
      <c r="AB30" s="430"/>
      <c r="AC30" s="430"/>
      <c r="AD30" s="431"/>
      <c r="AE30" s="434" t="str">
        <f>IF(S30="","",ROUND(X30*(1+$AI$18),2))</f>
        <v/>
      </c>
      <c r="AF30" s="435"/>
      <c r="AG30" s="435"/>
      <c r="AH30" s="435" t="str">
        <f>IF(S30="","",ROUND(U30*AE30,2))</f>
        <v/>
      </c>
      <c r="AI30" s="435"/>
      <c r="AJ30" s="435"/>
      <c r="AK30" s="435"/>
      <c r="AL30" s="435"/>
      <c r="AM30" s="436"/>
      <c r="AR30" s="83" t="s">
        <v>73</v>
      </c>
      <c r="AS30" s="86">
        <v>0.03</v>
      </c>
      <c r="AU30" s="57"/>
      <c r="AV30" s="57"/>
      <c r="AW30" s="313"/>
      <c r="AX30" s="313"/>
      <c r="AY30" s="313"/>
    </row>
    <row r="31" spans="1:51" ht="26.25" customHeight="1" x14ac:dyDescent="0.2">
      <c r="A31" s="251" t="str">
        <f>MEMORIA!A11</f>
        <v>1.1</v>
      </c>
      <c r="B31" s="363">
        <v>4813</v>
      </c>
      <c r="C31" s="350"/>
      <c r="D31" s="372" t="s">
        <v>74</v>
      </c>
      <c r="E31" s="373"/>
      <c r="F31" s="437" t="str">
        <f>MEMORIA!B11</f>
        <v>PLACA DE OBRA EM CHAPA DE ACO GALVANIZADO</v>
      </c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8"/>
      <c r="S31" s="319" t="s">
        <v>30</v>
      </c>
      <c r="T31" s="320"/>
      <c r="U31" s="364">
        <f>MEMORIA!F11</f>
        <v>2.5</v>
      </c>
      <c r="V31" s="365"/>
      <c r="W31" s="366"/>
      <c r="X31" s="438">
        <v>310</v>
      </c>
      <c r="Y31" s="439"/>
      <c r="Z31" s="440"/>
      <c r="AA31" s="331">
        <f>ROUND(X31*U31,2)</f>
        <v>775</v>
      </c>
      <c r="AB31" s="332"/>
      <c r="AC31" s="332"/>
      <c r="AD31" s="333"/>
      <c r="AE31" s="334">
        <f>ROUND(X31*(1+AI$18),2)</f>
        <v>391.56</v>
      </c>
      <c r="AF31" s="335"/>
      <c r="AG31" s="335"/>
      <c r="AH31" s="336">
        <f>ROUND(AE31*U31,2)</f>
        <v>978.9</v>
      </c>
      <c r="AI31" s="336"/>
      <c r="AJ31" s="336"/>
      <c r="AK31" s="336"/>
      <c r="AL31" s="336"/>
      <c r="AM31" s="337"/>
      <c r="AP31" s="90"/>
      <c r="AU31" s="57"/>
      <c r="AV31" s="57"/>
      <c r="AW31" s="313"/>
      <c r="AX31" s="313"/>
      <c r="AY31" s="313"/>
    </row>
    <row r="32" spans="1:51" ht="15" x14ac:dyDescent="0.2">
      <c r="A32" s="251"/>
      <c r="B32" s="189"/>
      <c r="C32" s="187"/>
      <c r="D32" s="189"/>
      <c r="E32" s="187"/>
      <c r="F32" s="379" t="s">
        <v>75</v>
      </c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1"/>
      <c r="S32" s="190"/>
      <c r="T32" s="188"/>
      <c r="U32" s="184"/>
      <c r="V32" s="185"/>
      <c r="W32" s="186"/>
      <c r="X32" s="432"/>
      <c r="Y32" s="433"/>
      <c r="Z32" s="433"/>
      <c r="AA32" s="392">
        <f>SUM(AA31)</f>
        <v>775</v>
      </c>
      <c r="AB32" s="393"/>
      <c r="AC32" s="393"/>
      <c r="AD32" s="394"/>
      <c r="AE32" s="334"/>
      <c r="AF32" s="335"/>
      <c r="AG32" s="335"/>
      <c r="AH32" s="389">
        <f>SUM(AH31)</f>
        <v>978.9</v>
      </c>
      <c r="AI32" s="390"/>
      <c r="AJ32" s="390"/>
      <c r="AK32" s="390"/>
      <c r="AL32" s="390"/>
      <c r="AM32" s="391"/>
      <c r="AP32" s="90"/>
      <c r="AU32" s="57"/>
      <c r="AV32" s="57"/>
      <c r="AW32" s="540"/>
      <c r="AX32" s="540"/>
      <c r="AY32" s="540"/>
    </row>
    <row r="33" spans="1:51" ht="14.25" x14ac:dyDescent="0.2">
      <c r="A33" s="251"/>
      <c r="B33" s="349"/>
      <c r="C33" s="350"/>
      <c r="D33" s="378"/>
      <c r="E33" s="373"/>
      <c r="F33" s="416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8"/>
      <c r="S33" s="395"/>
      <c r="T33" s="396"/>
      <c r="U33" s="364"/>
      <c r="V33" s="365"/>
      <c r="W33" s="366"/>
      <c r="X33" s="324"/>
      <c r="Y33" s="325"/>
      <c r="Z33" s="325"/>
      <c r="AA33" s="331"/>
      <c r="AB33" s="332"/>
      <c r="AC33" s="332"/>
      <c r="AD33" s="333"/>
      <c r="AE33" s="334"/>
      <c r="AF33" s="335"/>
      <c r="AG33" s="335"/>
      <c r="AH33" s="336"/>
      <c r="AI33" s="336"/>
      <c r="AJ33" s="336"/>
      <c r="AK33" s="336"/>
      <c r="AL33" s="336"/>
      <c r="AM33" s="337"/>
      <c r="AU33" s="57"/>
      <c r="AV33" s="57"/>
      <c r="AW33" s="538"/>
      <c r="AX33" s="538"/>
      <c r="AY33" s="538"/>
    </row>
    <row r="34" spans="1:51" ht="14.25" x14ac:dyDescent="0.2">
      <c r="A34" s="261">
        <v>2</v>
      </c>
      <c r="B34" s="351"/>
      <c r="C34" s="352"/>
      <c r="D34" s="353"/>
      <c r="E34" s="354"/>
      <c r="F34" s="355" t="str">
        <f>MEMORIA!B13</f>
        <v>PAVIMENTAÇÃO ASFÁLTICA</v>
      </c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7"/>
      <c r="S34" s="414"/>
      <c r="T34" s="415"/>
      <c r="U34" s="360"/>
      <c r="V34" s="361"/>
      <c r="W34" s="362"/>
      <c r="X34" s="367"/>
      <c r="Y34" s="368"/>
      <c r="Z34" s="410"/>
      <c r="AA34" s="338"/>
      <c r="AB34" s="339"/>
      <c r="AC34" s="339"/>
      <c r="AD34" s="340"/>
      <c r="AE34" s="341"/>
      <c r="AF34" s="342"/>
      <c r="AG34" s="342"/>
      <c r="AH34" s="347"/>
      <c r="AI34" s="347"/>
      <c r="AJ34" s="347"/>
      <c r="AK34" s="347"/>
      <c r="AL34" s="347"/>
      <c r="AM34" s="348"/>
      <c r="AP34" s="97"/>
      <c r="AU34" s="57"/>
      <c r="AV34" s="57"/>
      <c r="AW34" s="538"/>
      <c r="AX34" s="538"/>
      <c r="AY34" s="538"/>
    </row>
    <row r="35" spans="1:51" ht="27.75" customHeight="1" x14ac:dyDescent="0.2">
      <c r="A35" s="252" t="s">
        <v>3</v>
      </c>
      <c r="B35" s="349">
        <v>100576</v>
      </c>
      <c r="C35" s="350"/>
      <c r="D35" s="372" t="s">
        <v>74</v>
      </c>
      <c r="E35" s="373"/>
      <c r="F35" s="316" t="str">
        <f>MEMORIA!B14</f>
        <v xml:space="preserve">REGULARIZACAO E COMPACTACAO DE SUBLEITO ATE 20 CM DE ESPESSURA </v>
      </c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8"/>
      <c r="S35" s="319" t="s">
        <v>30</v>
      </c>
      <c r="T35" s="320"/>
      <c r="U35" s="364">
        <v>3490.97</v>
      </c>
      <c r="V35" s="365"/>
      <c r="W35" s="366"/>
      <c r="X35" s="413">
        <v>1.35</v>
      </c>
      <c r="Y35" s="325"/>
      <c r="Z35" s="325"/>
      <c r="AA35" s="331">
        <f t="shared" ref="AA35:AA39" si="0">ROUND(X35*U35,2)</f>
        <v>4712.8100000000004</v>
      </c>
      <c r="AB35" s="332"/>
      <c r="AC35" s="332"/>
      <c r="AD35" s="333"/>
      <c r="AE35" s="334">
        <f>ROUND(X35*(1+AI$18),2)</f>
        <v>1.71</v>
      </c>
      <c r="AF35" s="335"/>
      <c r="AG35" s="335"/>
      <c r="AH35" s="336">
        <f>U35*AE35</f>
        <v>5969.5586999999996</v>
      </c>
      <c r="AI35" s="336"/>
      <c r="AJ35" s="336"/>
      <c r="AK35" s="336"/>
      <c r="AL35" s="336"/>
      <c r="AM35" s="337"/>
      <c r="AP35" s="105"/>
      <c r="AS35" s="90"/>
      <c r="AU35" s="57"/>
      <c r="AV35" s="57"/>
      <c r="AW35" s="313"/>
      <c r="AX35" s="313"/>
      <c r="AY35" s="313"/>
    </row>
    <row r="36" spans="1:51" ht="25.5" customHeight="1" x14ac:dyDescent="0.2">
      <c r="A36" s="252" t="s">
        <v>22</v>
      </c>
      <c r="B36" s="349">
        <v>96401</v>
      </c>
      <c r="C36" s="350"/>
      <c r="D36" s="372" t="s">
        <v>74</v>
      </c>
      <c r="E36" s="373"/>
      <c r="F36" s="316" t="str">
        <f>MEMORIA!B17</f>
        <v>EXECUÇÃO DE IMPRIMAÇÃO COM ASFALTO DILUÍDO CM-30. AF_09/2017</v>
      </c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8"/>
      <c r="S36" s="319" t="s">
        <v>30</v>
      </c>
      <c r="T36" s="320"/>
      <c r="U36" s="364">
        <v>3161.17</v>
      </c>
      <c r="V36" s="365"/>
      <c r="W36" s="366"/>
      <c r="X36" s="324">
        <v>7</v>
      </c>
      <c r="Y36" s="325"/>
      <c r="Z36" s="325"/>
      <c r="AA36" s="331">
        <f t="shared" si="0"/>
        <v>22128.19</v>
      </c>
      <c r="AB36" s="332"/>
      <c r="AC36" s="332"/>
      <c r="AD36" s="333"/>
      <c r="AE36" s="334">
        <f>ROUND(X36*(1+AI$18),2)</f>
        <v>8.84</v>
      </c>
      <c r="AF36" s="335"/>
      <c r="AG36" s="335"/>
      <c r="AH36" s="336">
        <f t="shared" ref="AH36" si="1">ROUND(AE36*U36,2)</f>
        <v>27944.74</v>
      </c>
      <c r="AI36" s="336"/>
      <c r="AJ36" s="336"/>
      <c r="AK36" s="336"/>
      <c r="AL36" s="336"/>
      <c r="AM36" s="337"/>
      <c r="AU36" s="57"/>
      <c r="AV36" s="57"/>
      <c r="AW36" s="313"/>
      <c r="AX36" s="313"/>
      <c r="AY36" s="313"/>
    </row>
    <row r="37" spans="1:51" ht="18.75" customHeight="1" x14ac:dyDescent="0.2">
      <c r="A37" s="252" t="s">
        <v>33</v>
      </c>
      <c r="B37" s="349">
        <v>96402</v>
      </c>
      <c r="C37" s="350"/>
      <c r="D37" s="372" t="s">
        <v>74</v>
      </c>
      <c r="E37" s="373"/>
      <c r="F37" s="316" t="str">
        <f>MEMORIA!B18</f>
        <v>PINTURA DE LIGACAO COM EMULSAO RR-1C</v>
      </c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8"/>
      <c r="S37" s="319" t="s">
        <v>30</v>
      </c>
      <c r="T37" s="320"/>
      <c r="U37" s="364">
        <v>3161.17</v>
      </c>
      <c r="V37" s="365"/>
      <c r="W37" s="366"/>
      <c r="X37" s="324">
        <v>1.8</v>
      </c>
      <c r="Y37" s="325"/>
      <c r="Z37" s="325"/>
      <c r="AA37" s="331">
        <f t="shared" si="0"/>
        <v>5690.11</v>
      </c>
      <c r="AB37" s="332"/>
      <c r="AC37" s="332"/>
      <c r="AD37" s="333"/>
      <c r="AE37" s="334">
        <f>ROUND(X37*(1+AI$18),2)</f>
        <v>2.27</v>
      </c>
      <c r="AF37" s="335"/>
      <c r="AG37" s="335"/>
      <c r="AH37" s="336">
        <f>ROUND(AE37*U37,2)</f>
        <v>7175.86</v>
      </c>
      <c r="AI37" s="336"/>
      <c r="AJ37" s="336"/>
      <c r="AK37" s="336"/>
      <c r="AL37" s="336"/>
      <c r="AM37" s="337"/>
      <c r="AR37" s="105"/>
      <c r="AU37" s="57"/>
      <c r="AV37" s="57"/>
      <c r="AW37" s="313"/>
      <c r="AX37" s="313"/>
      <c r="AY37" s="313"/>
    </row>
    <row r="38" spans="1:51" ht="81.75" customHeight="1" x14ac:dyDescent="0.2">
      <c r="A38" s="252" t="s">
        <v>95</v>
      </c>
      <c r="B38" s="411">
        <v>95995</v>
      </c>
      <c r="C38" s="412"/>
      <c r="D38" s="372" t="s">
        <v>74</v>
      </c>
      <c r="E38" s="373"/>
      <c r="F38" s="316" t="str">
        <f>MEMORIA!B19</f>
        <v>95990 CONSTRUÇÃO DE PAVIMENTO COM APLICAÇÃO DE CONCRETO BETUMINOSO USINADO A M3 AS 1.070,55
QUENTE (CBUQ), CAMADA DE ROLAMENTO, COM ESPESSURA DE 3,0 CM - EXCLUSIVE TRANSPORTE. AF_03/2017</v>
      </c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8"/>
      <c r="S38" s="319" t="s">
        <v>29</v>
      </c>
      <c r="T38" s="320"/>
      <c r="U38" s="364">
        <v>94.84</v>
      </c>
      <c r="V38" s="365"/>
      <c r="W38" s="366"/>
      <c r="X38" s="413">
        <v>1005.87</v>
      </c>
      <c r="Y38" s="325"/>
      <c r="Z38" s="325"/>
      <c r="AA38" s="331">
        <f t="shared" si="0"/>
        <v>95396.71</v>
      </c>
      <c r="AB38" s="332"/>
      <c r="AC38" s="332"/>
      <c r="AD38" s="333"/>
      <c r="AE38" s="334">
        <f>ROUND(X38*(1+AI$18),2)</f>
        <v>1270.51</v>
      </c>
      <c r="AF38" s="335"/>
      <c r="AG38" s="335"/>
      <c r="AH38" s="336">
        <f>U38*AE38</f>
        <v>120495.16840000001</v>
      </c>
      <c r="AI38" s="336"/>
      <c r="AJ38" s="336"/>
      <c r="AK38" s="336"/>
      <c r="AL38" s="336"/>
      <c r="AM38" s="337"/>
      <c r="AP38" s="90"/>
      <c r="AU38" s="57"/>
      <c r="AV38" s="57"/>
      <c r="AW38" s="313"/>
      <c r="AX38" s="313"/>
      <c r="AY38" s="313"/>
    </row>
    <row r="39" spans="1:51" ht="51.75" customHeight="1" x14ac:dyDescent="0.2">
      <c r="A39" s="252" t="s">
        <v>96</v>
      </c>
      <c r="B39" s="349">
        <v>95303</v>
      </c>
      <c r="C39" s="350"/>
      <c r="D39" s="372" t="s">
        <v>74</v>
      </c>
      <c r="E39" s="373"/>
      <c r="F39" s="316" t="str">
        <f>MEMORIA!B20</f>
        <v>95303 TRANSPORTE COM CAMINHÃO BASCULANTE 10 M3 DE MASSA ASFALTICA PARA PAVIM M3XKM CR 1,02
ENTAÇÃO URBANA</v>
      </c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8"/>
      <c r="S39" s="319" t="s">
        <v>211</v>
      </c>
      <c r="T39" s="320"/>
      <c r="U39" s="364">
        <v>9484</v>
      </c>
      <c r="V39" s="365"/>
      <c r="W39" s="366"/>
      <c r="X39" s="324">
        <v>0.88</v>
      </c>
      <c r="Y39" s="325"/>
      <c r="Z39" s="325"/>
      <c r="AA39" s="331">
        <f t="shared" si="0"/>
        <v>8345.92</v>
      </c>
      <c r="AB39" s="332"/>
      <c r="AC39" s="332"/>
      <c r="AD39" s="333"/>
      <c r="AE39" s="334">
        <f>ROUND(X39*(1+AI$18),2)</f>
        <v>1.1100000000000001</v>
      </c>
      <c r="AF39" s="335"/>
      <c r="AG39" s="335"/>
      <c r="AH39" s="336">
        <f>ROUND(AE39*U39,2)</f>
        <v>10527.24</v>
      </c>
      <c r="AI39" s="336"/>
      <c r="AJ39" s="336"/>
      <c r="AK39" s="336"/>
      <c r="AL39" s="336"/>
      <c r="AM39" s="337"/>
      <c r="AU39" s="57"/>
      <c r="AV39" s="57"/>
      <c r="AW39" s="313"/>
      <c r="AX39" s="313"/>
      <c r="AY39" s="313"/>
    </row>
    <row r="40" spans="1:51" ht="21.75" customHeight="1" x14ac:dyDescent="0.2">
      <c r="A40" s="251"/>
      <c r="B40" s="349"/>
      <c r="C40" s="350"/>
      <c r="D40" s="378"/>
      <c r="E40" s="373"/>
      <c r="F40" s="379" t="s">
        <v>76</v>
      </c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1"/>
      <c r="S40" s="319"/>
      <c r="T40" s="320"/>
      <c r="U40" s="364"/>
      <c r="V40" s="365"/>
      <c r="W40" s="366"/>
      <c r="X40" s="324"/>
      <c r="Y40" s="325"/>
      <c r="Z40" s="326"/>
      <c r="AA40" s="392">
        <f>SUM(AA35:AD39)</f>
        <v>136273.74000000002</v>
      </c>
      <c r="AB40" s="393"/>
      <c r="AC40" s="393"/>
      <c r="AD40" s="394"/>
      <c r="AE40" s="334"/>
      <c r="AF40" s="335"/>
      <c r="AG40" s="335"/>
      <c r="AH40" s="389">
        <f>SUM(AH35:AM39)</f>
        <v>172112.56709999999</v>
      </c>
      <c r="AI40" s="390"/>
      <c r="AJ40" s="390"/>
      <c r="AK40" s="390"/>
      <c r="AL40" s="390"/>
      <c r="AM40" s="391"/>
      <c r="AP40" s="90">
        <v>264348.01</v>
      </c>
      <c r="AR40" s="105"/>
      <c r="AU40" s="57"/>
      <c r="AV40" s="57"/>
      <c r="AW40" s="538"/>
      <c r="AX40" s="538"/>
      <c r="AY40" s="538"/>
    </row>
    <row r="41" spans="1:51" ht="15" x14ac:dyDescent="0.2">
      <c r="A41" s="253"/>
      <c r="B41" s="349"/>
      <c r="C41" s="350"/>
      <c r="D41" s="378"/>
      <c r="E41" s="373"/>
      <c r="F41" s="407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9"/>
      <c r="S41" s="319"/>
      <c r="T41" s="320"/>
      <c r="U41" s="401"/>
      <c r="V41" s="402"/>
      <c r="W41" s="403"/>
      <c r="X41" s="404"/>
      <c r="Y41" s="405"/>
      <c r="Z41" s="406"/>
      <c r="AA41" s="397"/>
      <c r="AB41" s="397"/>
      <c r="AC41" s="397"/>
      <c r="AD41" s="398"/>
      <c r="AE41" s="334"/>
      <c r="AF41" s="335"/>
      <c r="AG41" s="335"/>
      <c r="AH41" s="399"/>
      <c r="AI41" s="399"/>
      <c r="AJ41" s="399"/>
      <c r="AK41" s="399"/>
      <c r="AL41" s="399"/>
      <c r="AM41" s="400"/>
      <c r="AU41" s="57"/>
      <c r="AV41" s="57"/>
      <c r="AW41" s="539"/>
      <c r="AX41" s="539"/>
      <c r="AY41" s="539"/>
    </row>
    <row r="42" spans="1:51" ht="15" x14ac:dyDescent="0.2">
      <c r="A42" s="261">
        <v>3</v>
      </c>
      <c r="B42" s="351"/>
      <c r="C42" s="352"/>
      <c r="D42" s="353"/>
      <c r="E42" s="354"/>
      <c r="F42" s="355" t="str">
        <f>MEMORIA!B21</f>
        <v>DRENAGEM SUPERFICIAL</v>
      </c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7"/>
      <c r="S42" s="358"/>
      <c r="T42" s="359"/>
      <c r="U42" s="360"/>
      <c r="V42" s="361"/>
      <c r="W42" s="362"/>
      <c r="X42" s="367"/>
      <c r="Y42" s="368"/>
      <c r="Z42" s="410"/>
      <c r="AA42" s="338"/>
      <c r="AB42" s="339"/>
      <c r="AC42" s="339"/>
      <c r="AD42" s="340"/>
      <c r="AE42" s="341"/>
      <c r="AF42" s="342"/>
      <c r="AG42" s="342"/>
      <c r="AH42" s="347"/>
      <c r="AI42" s="347"/>
      <c r="AJ42" s="347"/>
      <c r="AK42" s="347"/>
      <c r="AL42" s="347"/>
      <c r="AM42" s="348"/>
      <c r="AU42" s="57"/>
      <c r="AV42" s="57"/>
      <c r="AW42" s="538"/>
      <c r="AX42" s="538"/>
      <c r="AY42" s="538"/>
    </row>
    <row r="43" spans="1:51" ht="45" customHeight="1" x14ac:dyDescent="0.2">
      <c r="A43" s="252" t="s">
        <v>5</v>
      </c>
      <c r="B43" s="363">
        <v>94273</v>
      </c>
      <c r="C43" s="350"/>
      <c r="D43" s="372" t="s">
        <v>74</v>
      </c>
      <c r="E43" s="373"/>
      <c r="F43" s="316" t="str">
        <f>MEMORIA!B22</f>
        <v>ASSENTAMENTO DE GUIA (MEIO-FIO) EM TRECHO RETO, CONFECCIONADA EM CONCRETO PRÉ-FABRICADO, DIMENSÕES 100X15X13X30 CM (COMPRIMENTO X BASE INFERIOR X BASE SUPERIOR X ALTURA), PARA VIAS URBANAS (USO VIÁRIO). AF_06/2016</v>
      </c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8"/>
      <c r="S43" s="319" t="s">
        <v>78</v>
      </c>
      <c r="T43" s="320"/>
      <c r="U43" s="364">
        <v>430.61</v>
      </c>
      <c r="V43" s="365"/>
      <c r="W43" s="366"/>
      <c r="X43" s="324">
        <v>31.8</v>
      </c>
      <c r="Y43" s="325"/>
      <c r="Z43" s="325"/>
      <c r="AA43" s="331">
        <f>ROUND(X43*U43,2)</f>
        <v>13693.4</v>
      </c>
      <c r="AB43" s="332"/>
      <c r="AC43" s="332"/>
      <c r="AD43" s="333"/>
      <c r="AE43" s="334">
        <f>ROUND(X43*(1+AI$18),2)</f>
        <v>40.17</v>
      </c>
      <c r="AF43" s="335"/>
      <c r="AG43" s="335"/>
      <c r="AH43" s="336">
        <f>ROUND(AE43*U43,2)</f>
        <v>17297.599999999999</v>
      </c>
      <c r="AI43" s="336"/>
      <c r="AJ43" s="336"/>
      <c r="AK43" s="336"/>
      <c r="AL43" s="336"/>
      <c r="AM43" s="337"/>
      <c r="AP43" s="97"/>
      <c r="AU43" s="57"/>
      <c r="AV43" s="57"/>
      <c r="AW43" s="313"/>
      <c r="AX43" s="313"/>
      <c r="AY43" s="313"/>
    </row>
    <row r="44" spans="1:51" ht="50.1" customHeight="1" x14ac:dyDescent="0.2">
      <c r="A44" s="252" t="s">
        <v>26</v>
      </c>
      <c r="B44" s="343" t="s">
        <v>227</v>
      </c>
      <c r="C44" s="344"/>
      <c r="D44" s="372" t="s">
        <v>228</v>
      </c>
      <c r="E44" s="373"/>
      <c r="F44" s="316" t="s">
        <v>226</v>
      </c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8"/>
      <c r="S44" s="319" t="s">
        <v>78</v>
      </c>
      <c r="T44" s="320"/>
      <c r="U44" s="364">
        <v>755.41</v>
      </c>
      <c r="V44" s="365"/>
      <c r="W44" s="366"/>
      <c r="X44" s="367">
        <v>21</v>
      </c>
      <c r="Y44" s="368"/>
      <c r="Z44" s="368"/>
      <c r="AA44" s="331">
        <f>ROUND(X44*U44,2)</f>
        <v>15863.61</v>
      </c>
      <c r="AB44" s="332"/>
      <c r="AC44" s="332"/>
      <c r="AD44" s="333"/>
      <c r="AE44" s="334">
        <f>ROUND(X44*(1+AI$18),2)</f>
        <v>26.53</v>
      </c>
      <c r="AF44" s="335"/>
      <c r="AG44" s="335"/>
      <c r="AH44" s="336">
        <f>ROUND(AE44*U44,2)</f>
        <v>20041.03</v>
      </c>
      <c r="AI44" s="336"/>
      <c r="AJ44" s="336"/>
      <c r="AK44" s="336"/>
      <c r="AL44" s="336"/>
      <c r="AM44" s="337"/>
      <c r="AU44" s="57"/>
      <c r="AV44" s="57"/>
      <c r="AW44" s="313"/>
      <c r="AX44" s="313"/>
      <c r="AY44" s="313"/>
    </row>
    <row r="45" spans="1:51" ht="15.75" customHeight="1" x14ac:dyDescent="0.2">
      <c r="A45" s="252"/>
      <c r="B45" s="349"/>
      <c r="C45" s="350"/>
      <c r="D45" s="372"/>
      <c r="E45" s="373"/>
      <c r="F45" s="379" t="s">
        <v>77</v>
      </c>
      <c r="G45" s="380"/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1"/>
      <c r="S45" s="319"/>
      <c r="T45" s="320"/>
      <c r="U45" s="364"/>
      <c r="V45" s="365"/>
      <c r="W45" s="366"/>
      <c r="X45" s="324"/>
      <c r="Y45" s="325"/>
      <c r="Z45" s="326"/>
      <c r="AA45" s="392">
        <f>SUM(AA43:AD44)</f>
        <v>29557.010000000002</v>
      </c>
      <c r="AB45" s="393"/>
      <c r="AC45" s="393"/>
      <c r="AD45" s="394"/>
      <c r="AE45" s="334"/>
      <c r="AF45" s="335"/>
      <c r="AG45" s="335"/>
      <c r="AH45" s="389">
        <f>SUM(AH43:AM44)</f>
        <v>37338.629999999997</v>
      </c>
      <c r="AI45" s="390"/>
      <c r="AJ45" s="390"/>
      <c r="AK45" s="390"/>
      <c r="AL45" s="390"/>
      <c r="AM45" s="391"/>
      <c r="AP45" s="51">
        <v>146458.82</v>
      </c>
      <c r="AU45" s="57"/>
      <c r="AV45" s="57"/>
      <c r="AW45" s="538"/>
      <c r="AX45" s="538"/>
      <c r="AY45" s="538"/>
    </row>
    <row r="46" spans="1:51" ht="15.75" customHeight="1" x14ac:dyDescent="0.2">
      <c r="A46" s="253"/>
      <c r="B46" s="378"/>
      <c r="C46" s="373"/>
      <c r="D46" s="378"/>
      <c r="E46" s="373"/>
      <c r="F46" s="407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9"/>
      <c r="S46" s="319"/>
      <c r="T46" s="320"/>
      <c r="U46" s="401"/>
      <c r="V46" s="402"/>
      <c r="W46" s="403"/>
      <c r="X46" s="404"/>
      <c r="Y46" s="405"/>
      <c r="Z46" s="406"/>
      <c r="AA46" s="397"/>
      <c r="AB46" s="397"/>
      <c r="AC46" s="397"/>
      <c r="AD46" s="398"/>
      <c r="AE46" s="334"/>
      <c r="AF46" s="335"/>
      <c r="AG46" s="335"/>
      <c r="AH46" s="399"/>
      <c r="AI46" s="399"/>
      <c r="AJ46" s="399"/>
      <c r="AK46" s="399"/>
      <c r="AL46" s="399"/>
      <c r="AM46" s="400"/>
      <c r="AU46" s="57"/>
      <c r="AV46" s="57"/>
      <c r="AW46" s="539"/>
      <c r="AX46" s="539"/>
      <c r="AY46" s="539"/>
    </row>
    <row r="47" spans="1:51" ht="15.75" customHeight="1" x14ac:dyDescent="0.2">
      <c r="A47" s="261">
        <v>4</v>
      </c>
      <c r="B47" s="351"/>
      <c r="C47" s="352"/>
      <c r="D47" s="353"/>
      <c r="E47" s="354"/>
      <c r="F47" s="355" t="str">
        <f>MEMORIA!B24</f>
        <v>OBRAS COMPLEMENTARES</v>
      </c>
      <c r="G47" s="356"/>
      <c r="H47" s="356"/>
      <c r="I47" s="356"/>
      <c r="J47" s="356"/>
      <c r="K47" s="356"/>
      <c r="L47" s="356"/>
      <c r="M47" s="356"/>
      <c r="N47" s="356"/>
      <c r="O47" s="356"/>
      <c r="P47" s="356"/>
      <c r="Q47" s="356"/>
      <c r="R47" s="357"/>
      <c r="S47" s="358"/>
      <c r="T47" s="359"/>
      <c r="U47" s="360"/>
      <c r="V47" s="361"/>
      <c r="W47" s="362"/>
      <c r="X47" s="367"/>
      <c r="Y47" s="368"/>
      <c r="Z47" s="410"/>
      <c r="AA47" s="338"/>
      <c r="AB47" s="339"/>
      <c r="AC47" s="339"/>
      <c r="AD47" s="340"/>
      <c r="AE47" s="341"/>
      <c r="AF47" s="342"/>
      <c r="AG47" s="342"/>
      <c r="AH47" s="347"/>
      <c r="AI47" s="347"/>
      <c r="AJ47" s="347"/>
      <c r="AK47" s="347"/>
      <c r="AL47" s="347"/>
      <c r="AM47" s="348"/>
      <c r="AU47" s="57"/>
      <c r="AV47" s="57"/>
      <c r="AW47" s="538"/>
      <c r="AX47" s="538"/>
      <c r="AY47" s="538"/>
    </row>
    <row r="48" spans="1:51" ht="25.5" customHeight="1" x14ac:dyDescent="0.2">
      <c r="A48" s="252" t="s">
        <v>23</v>
      </c>
      <c r="B48" s="363">
        <v>13521</v>
      </c>
      <c r="C48" s="350"/>
      <c r="D48" s="372" t="s">
        <v>74</v>
      </c>
      <c r="E48" s="373"/>
      <c r="F48" s="316" t="str">
        <f>MEMORIA!B25</f>
        <v>PLACA ESMALTADA PARA IDENTIFICAÇÃO NR DE RUA, DIMENSÕES 45X25CM</v>
      </c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8"/>
      <c r="S48" s="319" t="s">
        <v>80</v>
      </c>
      <c r="T48" s="320"/>
      <c r="U48" s="364">
        <v>6</v>
      </c>
      <c r="V48" s="365"/>
      <c r="W48" s="366"/>
      <c r="X48" s="324">
        <v>88</v>
      </c>
      <c r="Y48" s="325"/>
      <c r="Z48" s="325"/>
      <c r="AA48" s="331">
        <f>ROUND(X48*U48,2)</f>
        <v>528</v>
      </c>
      <c r="AB48" s="332"/>
      <c r="AC48" s="332"/>
      <c r="AD48" s="333"/>
      <c r="AE48" s="334">
        <f>ROUND(X48*(1+AI$18),2)</f>
        <v>111.15</v>
      </c>
      <c r="AF48" s="335"/>
      <c r="AG48" s="335"/>
      <c r="AH48" s="336">
        <f>AE48*U48</f>
        <v>666.90000000000009</v>
      </c>
      <c r="AI48" s="336"/>
      <c r="AJ48" s="336"/>
      <c r="AK48" s="336"/>
      <c r="AL48" s="336"/>
      <c r="AM48" s="337"/>
      <c r="AP48" s="97"/>
      <c r="AU48" s="57"/>
      <c r="AV48" s="57"/>
      <c r="AW48" s="313"/>
      <c r="AX48" s="313"/>
      <c r="AY48" s="313"/>
    </row>
    <row r="49" spans="1:51" ht="60" customHeight="1" x14ac:dyDescent="0.2">
      <c r="A49" s="252" t="s">
        <v>32</v>
      </c>
      <c r="B49" s="363">
        <v>72947</v>
      </c>
      <c r="C49" s="350"/>
      <c r="D49" s="372" t="s">
        <v>74</v>
      </c>
      <c r="E49" s="373"/>
      <c r="F49" s="316" t="str">
        <f>MEMORIA!B26</f>
        <v>SINALIZACAO HORIZONTAL COM TINTA RETRORREFLETIVA A BASE DE RESINA ACRILICA COM MICROESFERAS DE VIDRO (FAIXA DE PARE, RETENÇÃO E DVISÃO DA PISTA)</v>
      </c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8"/>
      <c r="S49" s="319" t="s">
        <v>30</v>
      </c>
      <c r="T49" s="320"/>
      <c r="U49" s="374">
        <v>51.78</v>
      </c>
      <c r="V49" s="375"/>
      <c r="W49" s="376"/>
      <c r="X49" s="324">
        <v>16</v>
      </c>
      <c r="Y49" s="325"/>
      <c r="Z49" s="325"/>
      <c r="AA49" s="331">
        <f>ROUND(X49*U49,2)</f>
        <v>828.48</v>
      </c>
      <c r="AB49" s="332"/>
      <c r="AC49" s="332"/>
      <c r="AD49" s="333"/>
      <c r="AE49" s="334">
        <f>ROUND(X49*(1+AI$18),2)</f>
        <v>20.21</v>
      </c>
      <c r="AF49" s="335"/>
      <c r="AG49" s="335"/>
      <c r="AH49" s="336">
        <f>U49*AE49</f>
        <v>1046.4738</v>
      </c>
      <c r="AI49" s="336"/>
      <c r="AJ49" s="336"/>
      <c r="AK49" s="336"/>
      <c r="AL49" s="336"/>
      <c r="AM49" s="337"/>
      <c r="AP49" s="90"/>
      <c r="AU49" s="57"/>
      <c r="AV49" s="57"/>
      <c r="AW49" s="313"/>
      <c r="AX49" s="313"/>
      <c r="AY49" s="313"/>
    </row>
    <row r="50" spans="1:51" ht="75" customHeight="1" x14ac:dyDescent="0.2">
      <c r="A50" s="252" t="s">
        <v>31</v>
      </c>
      <c r="B50" s="343">
        <v>96382</v>
      </c>
      <c r="C50" s="344"/>
      <c r="D50" s="345" t="s">
        <v>197</v>
      </c>
      <c r="E50" s="346"/>
      <c r="F50" s="316" t="str">
        <f>MEMORIA!B27</f>
        <v>FORNECIMENTO E INSTALAÇÃO DE PLACA DE SINALIZAÇÃO VIÁRIA(DIÂMETRO=50CM) COM SUPORTE DE AÇO GALVANIZADO (TUBO DE 50 MM DE DIÂMETRO E COMPRIMENTO TOTAL IGUAL A 3 METROS). INCLUI BASE DE CONCRETO</v>
      </c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8"/>
      <c r="S50" s="319" t="s">
        <v>80</v>
      </c>
      <c r="T50" s="320"/>
      <c r="U50" s="369">
        <v>6</v>
      </c>
      <c r="V50" s="370"/>
      <c r="W50" s="371"/>
      <c r="X50" s="367">
        <v>260</v>
      </c>
      <c r="Y50" s="368"/>
      <c r="Z50" s="368"/>
      <c r="AA50" s="331">
        <f>ROUND(X50*U50,2)</f>
        <v>1560</v>
      </c>
      <c r="AB50" s="332"/>
      <c r="AC50" s="332"/>
      <c r="AD50" s="333"/>
      <c r="AE50" s="334">
        <f>ROUND(X50*(1+AI$18),2)</f>
        <v>328.41</v>
      </c>
      <c r="AF50" s="335"/>
      <c r="AG50" s="335"/>
      <c r="AH50" s="336">
        <f>ROUND(AE50*U50,2)</f>
        <v>1970.46</v>
      </c>
      <c r="AI50" s="336"/>
      <c r="AJ50" s="336"/>
      <c r="AK50" s="336"/>
      <c r="AL50" s="336"/>
      <c r="AM50" s="337"/>
      <c r="AP50" s="90"/>
      <c r="AQ50" s="90"/>
      <c r="AR50" s="90"/>
      <c r="AU50" s="57"/>
      <c r="AV50" s="57"/>
      <c r="AW50" s="313"/>
      <c r="AX50" s="313"/>
      <c r="AY50" s="313"/>
    </row>
    <row r="51" spans="1:51" ht="15" x14ac:dyDescent="0.2">
      <c r="A51" s="251"/>
      <c r="B51" s="349"/>
      <c r="C51" s="350"/>
      <c r="D51" s="378"/>
      <c r="E51" s="373"/>
      <c r="F51" s="379" t="s">
        <v>79</v>
      </c>
      <c r="G51" s="380"/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1"/>
      <c r="S51" s="319"/>
      <c r="T51" s="320"/>
      <c r="U51" s="364"/>
      <c r="V51" s="365"/>
      <c r="W51" s="366"/>
      <c r="X51" s="330"/>
      <c r="Y51" s="330"/>
      <c r="Z51" s="330"/>
      <c r="AA51" s="392">
        <f>SUM(AA48:AD50)</f>
        <v>2916.48</v>
      </c>
      <c r="AB51" s="393"/>
      <c r="AC51" s="393"/>
      <c r="AD51" s="394"/>
      <c r="AE51" s="334"/>
      <c r="AF51" s="335"/>
      <c r="AG51" s="335"/>
      <c r="AH51" s="389">
        <f>SUM(AH48:AM50)</f>
        <v>3683.8338000000003</v>
      </c>
      <c r="AI51" s="390"/>
      <c r="AJ51" s="390"/>
      <c r="AK51" s="390"/>
      <c r="AL51" s="390"/>
      <c r="AM51" s="391"/>
      <c r="AU51" s="57"/>
      <c r="AV51" s="57"/>
      <c r="AW51" s="313"/>
      <c r="AX51" s="313"/>
      <c r="AY51" s="313"/>
    </row>
    <row r="52" spans="1:51" ht="15" x14ac:dyDescent="0.2">
      <c r="A52" s="252"/>
      <c r="B52" s="363"/>
      <c r="C52" s="350"/>
      <c r="D52" s="345"/>
      <c r="E52" s="346"/>
      <c r="F52" s="316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8"/>
      <c r="S52" s="319"/>
      <c r="T52" s="320"/>
      <c r="U52" s="364"/>
      <c r="V52" s="365"/>
      <c r="W52" s="366"/>
      <c r="X52" s="330"/>
      <c r="Y52" s="330"/>
      <c r="Z52" s="330"/>
      <c r="AA52" s="331"/>
      <c r="AB52" s="332"/>
      <c r="AC52" s="332"/>
      <c r="AD52" s="333"/>
      <c r="AE52" s="334"/>
      <c r="AF52" s="335"/>
      <c r="AG52" s="335"/>
      <c r="AH52" s="336"/>
      <c r="AI52" s="336"/>
      <c r="AJ52" s="336"/>
      <c r="AK52" s="336"/>
      <c r="AL52" s="336"/>
      <c r="AM52" s="337"/>
      <c r="AU52" s="57"/>
      <c r="AV52" s="57"/>
      <c r="AW52" s="313"/>
      <c r="AX52" s="313"/>
      <c r="AY52" s="313"/>
    </row>
    <row r="53" spans="1:51" ht="15" x14ac:dyDescent="0.2">
      <c r="A53" s="261">
        <v>5</v>
      </c>
      <c r="B53" s="351"/>
      <c r="C53" s="352"/>
      <c r="D53" s="353"/>
      <c r="E53" s="354"/>
      <c r="F53" s="355" t="s">
        <v>100</v>
      </c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7"/>
      <c r="S53" s="358"/>
      <c r="T53" s="359"/>
      <c r="U53" s="360"/>
      <c r="V53" s="361"/>
      <c r="W53" s="362"/>
      <c r="X53" s="327"/>
      <c r="Y53" s="328"/>
      <c r="Z53" s="329"/>
      <c r="AA53" s="338"/>
      <c r="AB53" s="339"/>
      <c r="AC53" s="339"/>
      <c r="AD53" s="340"/>
      <c r="AE53" s="341"/>
      <c r="AF53" s="342"/>
      <c r="AG53" s="342"/>
      <c r="AH53" s="347"/>
      <c r="AI53" s="347"/>
      <c r="AJ53" s="347"/>
      <c r="AK53" s="347"/>
      <c r="AL53" s="347"/>
      <c r="AM53" s="348"/>
      <c r="AP53" s="90"/>
      <c r="AU53" s="57"/>
      <c r="AV53" s="57"/>
      <c r="AW53" s="313"/>
      <c r="AX53" s="313"/>
      <c r="AY53" s="313"/>
    </row>
    <row r="54" spans="1:51" ht="56.25" customHeight="1" x14ac:dyDescent="0.2">
      <c r="A54" s="252" t="s">
        <v>27</v>
      </c>
      <c r="B54" s="363">
        <v>94990</v>
      </c>
      <c r="C54" s="377"/>
      <c r="D54" s="314" t="s">
        <v>74</v>
      </c>
      <c r="E54" s="315"/>
      <c r="F54" s="316" t="str">
        <f>MEMORIA!B29</f>
        <v>EXECUÇÃO DE PASSEIO (CALÇADA) OU PISO DE CONCRETO COM CONCRETO MOLDADO 
IN LOCO, FEITO EM OBRA, ACABAMENTO CONVENCIONAL, NÃO ARMADO. AF_07/2016</v>
      </c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8"/>
      <c r="S54" s="319" t="s">
        <v>212</v>
      </c>
      <c r="T54" s="320"/>
      <c r="U54" s="321">
        <v>45.125999999999998</v>
      </c>
      <c r="V54" s="322"/>
      <c r="W54" s="323"/>
      <c r="X54" s="324">
        <v>490</v>
      </c>
      <c r="Y54" s="325"/>
      <c r="Z54" s="326"/>
      <c r="AA54" s="331">
        <f>ROUND(X54*U54,2)</f>
        <v>22111.74</v>
      </c>
      <c r="AB54" s="332"/>
      <c r="AC54" s="332"/>
      <c r="AD54" s="333"/>
      <c r="AE54" s="334">
        <f>ROUND(X54*(1+AI$18),2)</f>
        <v>618.91999999999996</v>
      </c>
      <c r="AF54" s="335"/>
      <c r="AG54" s="335"/>
      <c r="AH54" s="336">
        <v>27931.86</v>
      </c>
      <c r="AI54" s="336"/>
      <c r="AJ54" s="336"/>
      <c r="AK54" s="336"/>
      <c r="AL54" s="336"/>
      <c r="AM54" s="337"/>
      <c r="AP54" s="105"/>
      <c r="AU54" s="57"/>
      <c r="AV54" s="57"/>
      <c r="AW54" s="313"/>
      <c r="AX54" s="313"/>
      <c r="AY54" s="313"/>
    </row>
    <row r="55" spans="1:51" ht="49.5" customHeight="1" x14ac:dyDescent="0.2">
      <c r="A55" s="252" t="s">
        <v>91</v>
      </c>
      <c r="B55" s="363" t="s">
        <v>159</v>
      </c>
      <c r="C55" s="350"/>
      <c r="D55" s="345" t="s">
        <v>203</v>
      </c>
      <c r="E55" s="346"/>
      <c r="F55" s="316" t="str">
        <f>MEMORIA!B30</f>
        <v>RAMPA PARA ACESSO DE DEFICIENTE, EM CONCRETO SIMPLES FCK = 15 MPA, DESEMPENADA, COM PINTURA INDICATIVA, 03 DEMÃOS</v>
      </c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8"/>
      <c r="S55" s="319" t="s">
        <v>80</v>
      </c>
      <c r="T55" s="320"/>
      <c r="U55" s="364">
        <v>6</v>
      </c>
      <c r="V55" s="365"/>
      <c r="W55" s="366"/>
      <c r="X55" s="327">
        <v>270</v>
      </c>
      <c r="Y55" s="328"/>
      <c r="Z55" s="329"/>
      <c r="AA55" s="331">
        <f>ROUND(X55*U55,2)</f>
        <v>1620</v>
      </c>
      <c r="AB55" s="332"/>
      <c r="AC55" s="332"/>
      <c r="AD55" s="333"/>
      <c r="AE55" s="334">
        <f>ROUND(X55*(1+AI$18),2)</f>
        <v>341.04</v>
      </c>
      <c r="AF55" s="335"/>
      <c r="AG55" s="335"/>
      <c r="AH55" s="336">
        <f>ROUND(AE55*U55,2)</f>
        <v>2046.24</v>
      </c>
      <c r="AI55" s="336"/>
      <c r="AJ55" s="336"/>
      <c r="AK55" s="336"/>
      <c r="AL55" s="336"/>
      <c r="AM55" s="337"/>
      <c r="AP55" s="90"/>
      <c r="AR55" s="90"/>
      <c r="AU55" s="57"/>
      <c r="AV55" s="57"/>
      <c r="AW55" s="313"/>
      <c r="AX55" s="313"/>
      <c r="AY55" s="313"/>
    </row>
    <row r="56" spans="1:51" ht="15" x14ac:dyDescent="0.2">
      <c r="A56" s="252"/>
      <c r="B56" s="349"/>
      <c r="C56" s="350"/>
      <c r="D56" s="378"/>
      <c r="E56" s="373"/>
      <c r="F56" s="379" t="s">
        <v>99</v>
      </c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1"/>
      <c r="S56" s="395"/>
      <c r="T56" s="396"/>
      <c r="U56" s="364"/>
      <c r="V56" s="365"/>
      <c r="W56" s="366"/>
      <c r="X56" s="330"/>
      <c r="Y56" s="330"/>
      <c r="Z56" s="330"/>
      <c r="AA56" s="392">
        <f>SUM(AA54:AD55)</f>
        <v>23731.74</v>
      </c>
      <c r="AB56" s="393"/>
      <c r="AC56" s="393"/>
      <c r="AD56" s="394"/>
      <c r="AE56" s="334"/>
      <c r="AF56" s="335"/>
      <c r="AG56" s="335"/>
      <c r="AH56" s="389">
        <f>SUM(AH54:AM55)</f>
        <v>29978.100000000002</v>
      </c>
      <c r="AI56" s="390"/>
      <c r="AJ56" s="390"/>
      <c r="AK56" s="390"/>
      <c r="AL56" s="390"/>
      <c r="AM56" s="391"/>
      <c r="AU56" s="57"/>
      <c r="AV56" s="57"/>
      <c r="AW56" s="53"/>
      <c r="AX56" s="53"/>
      <c r="AY56" s="53"/>
    </row>
    <row r="57" spans="1:51" ht="17.25" customHeight="1" x14ac:dyDescent="0.2">
      <c r="A57" s="287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9" t="s">
        <v>81</v>
      </c>
      <c r="X57" s="388" t="s">
        <v>82</v>
      </c>
      <c r="Y57" s="383"/>
      <c r="Z57" s="383"/>
      <c r="AA57" s="383">
        <f>AA56+AA45+AA40+AA51+AA32</f>
        <v>193253.97000000003</v>
      </c>
      <c r="AB57" s="383"/>
      <c r="AC57" s="383"/>
      <c r="AD57" s="384"/>
      <c r="AE57" s="385" t="s">
        <v>83</v>
      </c>
      <c r="AF57" s="383"/>
      <c r="AG57" s="383"/>
      <c r="AH57" s="386">
        <f>AH56+AH45+AH40+AH32+AH51</f>
        <v>244092.03089999995</v>
      </c>
      <c r="AI57" s="386"/>
      <c r="AJ57" s="386"/>
      <c r="AK57" s="386"/>
      <c r="AL57" s="386"/>
      <c r="AM57" s="387"/>
      <c r="AU57" s="57"/>
      <c r="AV57" s="57"/>
      <c r="AW57" s="57"/>
      <c r="AX57" s="57"/>
      <c r="AY57" s="57"/>
    </row>
    <row r="58" spans="1:51" ht="12" customHeight="1" x14ac:dyDescent="0.2">
      <c r="A58" s="254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55"/>
      <c r="AP58" s="97"/>
    </row>
    <row r="59" spans="1:51" ht="15" customHeight="1" x14ac:dyDescent="0.2">
      <c r="A59" s="256"/>
      <c r="B59" s="227"/>
      <c r="C59" s="227"/>
      <c r="D59" s="227"/>
      <c r="E59" s="382" t="s">
        <v>84</v>
      </c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2"/>
      <c r="X59" s="382"/>
      <c r="Y59" s="382"/>
      <c r="Z59" s="382"/>
      <c r="AA59" s="382"/>
      <c r="AB59" s="382"/>
      <c r="AC59" s="382"/>
      <c r="AD59" s="382"/>
      <c r="AE59" s="382"/>
      <c r="AF59" s="382"/>
      <c r="AG59" s="382"/>
      <c r="AH59" s="382"/>
      <c r="AI59" s="382"/>
      <c r="AJ59" s="382"/>
      <c r="AK59" s="382"/>
      <c r="AL59" s="382"/>
      <c r="AM59" s="243"/>
      <c r="AP59" s="97"/>
      <c r="AR59" s="97"/>
    </row>
    <row r="60" spans="1:51" ht="12" customHeight="1" x14ac:dyDescent="0.2">
      <c r="A60" s="256"/>
      <c r="B60" s="227"/>
      <c r="C60" s="227"/>
      <c r="D60" s="227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  <c r="AD60" s="382"/>
      <c r="AE60" s="382"/>
      <c r="AF60" s="382"/>
      <c r="AG60" s="382"/>
      <c r="AH60" s="382"/>
      <c r="AI60" s="382"/>
      <c r="AJ60" s="382"/>
      <c r="AK60" s="382"/>
      <c r="AL60" s="382"/>
      <c r="AM60" s="243"/>
      <c r="AR60" s="97"/>
    </row>
    <row r="61" spans="1:51" ht="12" customHeight="1" x14ac:dyDescent="0.2">
      <c r="A61" s="256"/>
      <c r="B61" s="227"/>
      <c r="C61" s="227"/>
      <c r="D61" s="227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2"/>
      <c r="AJ61" s="382"/>
      <c r="AK61" s="382"/>
      <c r="AL61" s="382"/>
      <c r="AM61" s="243"/>
      <c r="AR61" s="97"/>
    </row>
    <row r="62" spans="1:51" s="57" customFormat="1" ht="12.75" x14ac:dyDescent="0.2">
      <c r="A62" s="256"/>
      <c r="B62" s="227"/>
      <c r="C62" s="227"/>
      <c r="D62" s="227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2"/>
      <c r="R62" s="382"/>
      <c r="S62" s="382"/>
      <c r="T62" s="382"/>
      <c r="U62" s="382"/>
      <c r="V62" s="382"/>
      <c r="W62" s="382"/>
      <c r="X62" s="382"/>
      <c r="Y62" s="382"/>
      <c r="Z62" s="382"/>
      <c r="AA62" s="382"/>
      <c r="AB62" s="382"/>
      <c r="AC62" s="382"/>
      <c r="AD62" s="382"/>
      <c r="AE62" s="382"/>
      <c r="AF62" s="382"/>
      <c r="AG62" s="382"/>
      <c r="AH62" s="382"/>
      <c r="AI62" s="382"/>
      <c r="AJ62" s="382"/>
      <c r="AK62" s="382"/>
      <c r="AL62" s="382"/>
      <c r="AM62" s="243"/>
      <c r="AP62" s="98"/>
      <c r="AT62" s="58"/>
    </row>
    <row r="63" spans="1:51" s="91" customFormat="1" ht="12" customHeight="1" x14ac:dyDescent="0.2">
      <c r="A63" s="256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43"/>
      <c r="AT63" s="92"/>
    </row>
    <row r="64" spans="1:51" ht="12" customHeight="1" x14ac:dyDescent="0.2">
      <c r="A64" s="256"/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43"/>
    </row>
    <row r="65" spans="1:42" ht="12" customHeight="1" x14ac:dyDescent="0.2">
      <c r="A65" s="256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43"/>
      <c r="AP65" s="150"/>
    </row>
    <row r="66" spans="1:42" ht="12.75" x14ac:dyDescent="0.2">
      <c r="A66" s="256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50"/>
      <c r="Y66" s="50"/>
      <c r="Z66" s="50"/>
      <c r="AA66" s="50"/>
      <c r="AB66" s="50"/>
      <c r="AC66" s="50"/>
      <c r="AD66" s="50"/>
      <c r="AE66" s="227"/>
      <c r="AF66" s="227"/>
      <c r="AG66" s="227"/>
      <c r="AH66" s="227"/>
      <c r="AI66" s="227"/>
      <c r="AJ66" s="227"/>
      <c r="AK66" s="227"/>
      <c r="AL66" s="227"/>
      <c r="AM66" s="243"/>
      <c r="AP66" s="149"/>
    </row>
    <row r="67" spans="1:42" ht="6" customHeight="1" x14ac:dyDescent="0.2">
      <c r="A67" s="256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43"/>
      <c r="AP67" s="150"/>
    </row>
    <row r="68" spans="1:42" ht="12" customHeight="1" x14ac:dyDescent="0.2">
      <c r="A68" s="256"/>
      <c r="B68" s="227"/>
      <c r="C68" s="227"/>
      <c r="D68" s="227"/>
      <c r="E68" s="229" t="s">
        <v>219</v>
      </c>
      <c r="F68" s="228"/>
      <c r="G68" s="228"/>
      <c r="H68" s="228"/>
      <c r="I68" s="228"/>
      <c r="J68" s="228"/>
      <c r="K68" s="228"/>
      <c r="L68" s="228"/>
      <c r="M68" s="228"/>
      <c r="N68" s="220"/>
      <c r="O68" s="228"/>
      <c r="P68" s="228"/>
      <c r="Q68" s="228"/>
      <c r="R68" s="228"/>
      <c r="S68" s="228"/>
      <c r="T68" s="228"/>
      <c r="U68" s="228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43"/>
      <c r="AP68" s="149"/>
    </row>
    <row r="69" spans="1:42" ht="6" customHeight="1" x14ac:dyDescent="0.2">
      <c r="A69" s="256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43"/>
      <c r="AP69" s="150"/>
    </row>
    <row r="70" spans="1:42" ht="12" customHeight="1" thickBot="1" x14ac:dyDescent="0.25">
      <c r="A70" s="257"/>
      <c r="B70" s="258"/>
      <c r="C70" s="258"/>
      <c r="D70" s="258"/>
      <c r="E70" s="259" t="s">
        <v>220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60"/>
      <c r="AP70" s="149"/>
    </row>
    <row r="71" spans="1:42" ht="6" customHeight="1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P71" s="150"/>
    </row>
    <row r="72" spans="1:42" ht="12" customHeight="1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</row>
    <row r="73" spans="1:42" ht="12" customHeight="1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</row>
    <row r="74" spans="1:42" ht="12" customHeight="1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</row>
    <row r="75" spans="1:42" ht="12" customHeight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</row>
    <row r="76" spans="1:42" ht="12" customHeight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spans="1:42" ht="12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spans="1:42" ht="12" customHeigh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spans="1:42" ht="12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spans="1:42" ht="12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spans="1:39" ht="12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spans="1:39" ht="12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spans="1:39" ht="12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spans="1:39" ht="12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spans="1:39" ht="12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spans="1:39" ht="12" customHeight="1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spans="1:39" ht="12" customHeight="1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spans="1:39" ht="12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spans="1:39" ht="12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spans="1:39" ht="12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 spans="1:39" ht="12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 spans="1:39" ht="12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 spans="1:39" ht="12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 spans="1:39" ht="12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 spans="1:39" ht="12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 spans="1:39" ht="12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 spans="1:39" ht="12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ht="12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ht="12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ht="12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ht="12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ht="12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ht="12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ht="12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ht="12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ht="12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ht="12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ht="12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ht="12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ht="12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ht="12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ht="12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</sheetData>
  <mergeCells count="316">
    <mergeCell ref="AW31:AY31"/>
    <mergeCell ref="AW32:AY32"/>
    <mergeCell ref="AW33:AY33"/>
    <mergeCell ref="AW34:AY34"/>
    <mergeCell ref="AW35:AY35"/>
    <mergeCell ref="AW46:AY46"/>
    <mergeCell ref="AW47:AY47"/>
    <mergeCell ref="AW48:AY48"/>
    <mergeCell ref="AW49:AY49"/>
    <mergeCell ref="AW36:AY36"/>
    <mergeCell ref="AW50:AY50"/>
    <mergeCell ref="AW51:AY51"/>
    <mergeCell ref="AW52:AY52"/>
    <mergeCell ref="AW53:AY53"/>
    <mergeCell ref="AW37:AY37"/>
    <mergeCell ref="AW38:AY38"/>
    <mergeCell ref="AW39:AY39"/>
    <mergeCell ref="AW40:AY40"/>
    <mergeCell ref="AW41:AY41"/>
    <mergeCell ref="AW42:AY42"/>
    <mergeCell ref="AW43:AY43"/>
    <mergeCell ref="AW44:AY44"/>
    <mergeCell ref="AW45:AY45"/>
    <mergeCell ref="A14:V14"/>
    <mergeCell ref="W14:AE14"/>
    <mergeCell ref="AF14:AM14"/>
    <mergeCell ref="P18:W19"/>
    <mergeCell ref="X18:AH19"/>
    <mergeCell ref="AI18:AM19"/>
    <mergeCell ref="K20:L20"/>
    <mergeCell ref="A27:A29"/>
    <mergeCell ref="F27:R29"/>
    <mergeCell ref="S27:T29"/>
    <mergeCell ref="U27:W29"/>
    <mergeCell ref="X27:AM27"/>
    <mergeCell ref="A18:O19"/>
    <mergeCell ref="AR27:AS27"/>
    <mergeCell ref="D28:E28"/>
    <mergeCell ref="X28:AD28"/>
    <mergeCell ref="AE28:AM28"/>
    <mergeCell ref="X29:Z29"/>
    <mergeCell ref="AA29:AD29"/>
    <mergeCell ref="AE29:AG29"/>
    <mergeCell ref="AH29:AM29"/>
    <mergeCell ref="J25:O25"/>
    <mergeCell ref="V25:W25"/>
    <mergeCell ref="AW30:AY30"/>
    <mergeCell ref="A2:AM3"/>
    <mergeCell ref="A5:X5"/>
    <mergeCell ref="AD5:AM5"/>
    <mergeCell ref="A8:AC8"/>
    <mergeCell ref="AD8:AM8"/>
    <mergeCell ref="A11:V11"/>
    <mergeCell ref="W11:AK11"/>
    <mergeCell ref="AL11:AM11"/>
    <mergeCell ref="X20:AM25"/>
    <mergeCell ref="K21:L21"/>
    <mergeCell ref="N21:O21"/>
    <mergeCell ref="V21:W21"/>
    <mergeCell ref="K22:L22"/>
    <mergeCell ref="N22:O22"/>
    <mergeCell ref="V22:W22"/>
    <mergeCell ref="K23:L23"/>
    <mergeCell ref="N20:O20"/>
    <mergeCell ref="V20:W20"/>
    <mergeCell ref="N23:O23"/>
    <mergeCell ref="V23:W23"/>
    <mergeCell ref="K24:L24"/>
    <mergeCell ref="N24:O24"/>
    <mergeCell ref="V24:W24"/>
    <mergeCell ref="B30:C30"/>
    <mergeCell ref="D30:E30"/>
    <mergeCell ref="F30:R30"/>
    <mergeCell ref="S30:T30"/>
    <mergeCell ref="U30:W30"/>
    <mergeCell ref="X30:Z30"/>
    <mergeCell ref="AA30:AD30"/>
    <mergeCell ref="AH31:AM31"/>
    <mergeCell ref="F32:R32"/>
    <mergeCell ref="X32:Z32"/>
    <mergeCell ref="AA32:AD32"/>
    <mergeCell ref="AE32:AG32"/>
    <mergeCell ref="AH32:AM32"/>
    <mergeCell ref="AE30:AG30"/>
    <mergeCell ref="AH30:AM30"/>
    <mergeCell ref="B31:C31"/>
    <mergeCell ref="D31:E31"/>
    <mergeCell ref="F31:R31"/>
    <mergeCell ref="S31:T31"/>
    <mergeCell ref="U31:W31"/>
    <mergeCell ref="X31:Z31"/>
    <mergeCell ref="AA31:AD31"/>
    <mergeCell ref="AE31:AG31"/>
    <mergeCell ref="AA33:AD33"/>
    <mergeCell ref="AE33:AG33"/>
    <mergeCell ref="AH33:AM33"/>
    <mergeCell ref="B34:C34"/>
    <mergeCell ref="D34:E34"/>
    <mergeCell ref="F34:R34"/>
    <mergeCell ref="S34:T34"/>
    <mergeCell ref="U34:W34"/>
    <mergeCell ref="X34:Z34"/>
    <mergeCell ref="AA34:AD34"/>
    <mergeCell ref="B33:C33"/>
    <mergeCell ref="D33:E33"/>
    <mergeCell ref="F33:R33"/>
    <mergeCell ref="S33:T33"/>
    <mergeCell ref="U33:W33"/>
    <mergeCell ref="X33:Z33"/>
    <mergeCell ref="AE34:AG34"/>
    <mergeCell ref="AH34:AM34"/>
    <mergeCell ref="B35:C35"/>
    <mergeCell ref="D35:E35"/>
    <mergeCell ref="F35:R35"/>
    <mergeCell ref="S35:T35"/>
    <mergeCell ref="U35:W35"/>
    <mergeCell ref="X35:Z35"/>
    <mergeCell ref="AA35:AD35"/>
    <mergeCell ref="AE35:AG35"/>
    <mergeCell ref="AH35:AM35"/>
    <mergeCell ref="B36:C36"/>
    <mergeCell ref="D36:E36"/>
    <mergeCell ref="F36:R36"/>
    <mergeCell ref="S36:T36"/>
    <mergeCell ref="U36:W36"/>
    <mergeCell ref="X36:Z36"/>
    <mergeCell ref="AA36:AD36"/>
    <mergeCell ref="AE36:AG36"/>
    <mergeCell ref="AH36:AM36"/>
    <mergeCell ref="AH37:AM37"/>
    <mergeCell ref="B38:C38"/>
    <mergeCell ref="D38:E38"/>
    <mergeCell ref="F38:R38"/>
    <mergeCell ref="S38:T38"/>
    <mergeCell ref="U38:W38"/>
    <mergeCell ref="X38:Z38"/>
    <mergeCell ref="AE38:AG38"/>
    <mergeCell ref="AH38:AM38"/>
    <mergeCell ref="AA38:AD38"/>
    <mergeCell ref="B37:C37"/>
    <mergeCell ref="D37:E37"/>
    <mergeCell ref="F37:R37"/>
    <mergeCell ref="S37:T37"/>
    <mergeCell ref="U37:W37"/>
    <mergeCell ref="X37:Z37"/>
    <mergeCell ref="AA37:AD37"/>
    <mergeCell ref="AE37:AG37"/>
    <mergeCell ref="AA39:AD39"/>
    <mergeCell ref="AE39:AG39"/>
    <mergeCell ref="AH39:AM39"/>
    <mergeCell ref="B40:C40"/>
    <mergeCell ref="D40:E40"/>
    <mergeCell ref="F40:R40"/>
    <mergeCell ref="S40:T40"/>
    <mergeCell ref="U40:W40"/>
    <mergeCell ref="X40:Z40"/>
    <mergeCell ref="AA40:AD40"/>
    <mergeCell ref="B39:C39"/>
    <mergeCell ref="D39:E39"/>
    <mergeCell ref="F39:R39"/>
    <mergeCell ref="S39:T39"/>
    <mergeCell ref="U39:W39"/>
    <mergeCell ref="X39:Z39"/>
    <mergeCell ref="B41:C41"/>
    <mergeCell ref="D41:E41"/>
    <mergeCell ref="F41:R41"/>
    <mergeCell ref="S41:T41"/>
    <mergeCell ref="U41:W41"/>
    <mergeCell ref="X41:Z41"/>
    <mergeCell ref="AE40:AG40"/>
    <mergeCell ref="AH40:AM40"/>
    <mergeCell ref="AE42:AG42"/>
    <mergeCell ref="AA41:AD41"/>
    <mergeCell ref="AE41:AG41"/>
    <mergeCell ref="AH41:AM41"/>
    <mergeCell ref="AH42:AM42"/>
    <mergeCell ref="B42:C42"/>
    <mergeCell ref="D42:E42"/>
    <mergeCell ref="F42:R42"/>
    <mergeCell ref="S42:T42"/>
    <mergeCell ref="U42:W42"/>
    <mergeCell ref="X42:Z42"/>
    <mergeCell ref="AA42:AD42"/>
    <mergeCell ref="B43:C43"/>
    <mergeCell ref="D43:E43"/>
    <mergeCell ref="F43:R43"/>
    <mergeCell ref="S43:T43"/>
    <mergeCell ref="U43:W43"/>
    <mergeCell ref="X43:Z43"/>
    <mergeCell ref="AA43:AD43"/>
    <mergeCell ref="AE43:AG43"/>
    <mergeCell ref="AH43:AM43"/>
    <mergeCell ref="B44:C44"/>
    <mergeCell ref="D44:E44"/>
    <mergeCell ref="F44:R44"/>
    <mergeCell ref="S44:T44"/>
    <mergeCell ref="U44:W44"/>
    <mergeCell ref="X44:Z44"/>
    <mergeCell ref="X45:Z45"/>
    <mergeCell ref="AA47:AD47"/>
    <mergeCell ref="S46:T46"/>
    <mergeCell ref="B45:C45"/>
    <mergeCell ref="D45:E45"/>
    <mergeCell ref="F45:R45"/>
    <mergeCell ref="S45:T45"/>
    <mergeCell ref="U45:W45"/>
    <mergeCell ref="U46:W46"/>
    <mergeCell ref="X46:Z46"/>
    <mergeCell ref="B46:C46"/>
    <mergeCell ref="AA44:AD44"/>
    <mergeCell ref="D46:E46"/>
    <mergeCell ref="F46:R46"/>
    <mergeCell ref="U47:W47"/>
    <mergeCell ref="X47:Z47"/>
    <mergeCell ref="B47:C47"/>
    <mergeCell ref="D47:E47"/>
    <mergeCell ref="AE44:AG44"/>
    <mergeCell ref="AH44:AM44"/>
    <mergeCell ref="AA45:AD45"/>
    <mergeCell ref="AE45:AG45"/>
    <mergeCell ref="AH45:AM45"/>
    <mergeCell ref="AE47:AG47"/>
    <mergeCell ref="AH47:AM47"/>
    <mergeCell ref="AA46:AD46"/>
    <mergeCell ref="AE46:AG46"/>
    <mergeCell ref="AH46:AM46"/>
    <mergeCell ref="B56:C56"/>
    <mergeCell ref="D56:E56"/>
    <mergeCell ref="F56:R56"/>
    <mergeCell ref="S56:T56"/>
    <mergeCell ref="U56:W56"/>
    <mergeCell ref="X56:Z56"/>
    <mergeCell ref="AA56:AD56"/>
    <mergeCell ref="AE56:AG56"/>
    <mergeCell ref="AH56:AM56"/>
    <mergeCell ref="E59:AL62"/>
    <mergeCell ref="AA57:AD57"/>
    <mergeCell ref="AE57:AG57"/>
    <mergeCell ref="AH57:AM57"/>
    <mergeCell ref="X57:Z57"/>
    <mergeCell ref="AA50:AD50"/>
    <mergeCell ref="AE50:AG50"/>
    <mergeCell ref="AH50:AM50"/>
    <mergeCell ref="AE51:AG51"/>
    <mergeCell ref="AH51:AM51"/>
    <mergeCell ref="AA51:AD51"/>
    <mergeCell ref="B55:C55"/>
    <mergeCell ref="D55:E55"/>
    <mergeCell ref="F55:R55"/>
    <mergeCell ref="S55:T55"/>
    <mergeCell ref="U55:W55"/>
    <mergeCell ref="X55:Z55"/>
    <mergeCell ref="U51:W51"/>
    <mergeCell ref="B54:C54"/>
    <mergeCell ref="D51:E51"/>
    <mergeCell ref="F51:R51"/>
    <mergeCell ref="S51:T51"/>
    <mergeCell ref="X51:Z51"/>
    <mergeCell ref="F47:R47"/>
    <mergeCell ref="S47:T47"/>
    <mergeCell ref="AH49:AM49"/>
    <mergeCell ref="B49:C49"/>
    <mergeCell ref="D49:E49"/>
    <mergeCell ref="F49:R49"/>
    <mergeCell ref="S49:T49"/>
    <mergeCell ref="X49:Z49"/>
    <mergeCell ref="U49:W49"/>
    <mergeCell ref="AE48:AG48"/>
    <mergeCell ref="AH48:AM48"/>
    <mergeCell ref="AA49:AD49"/>
    <mergeCell ref="AE49:AG49"/>
    <mergeCell ref="B48:C48"/>
    <mergeCell ref="D48:E48"/>
    <mergeCell ref="F48:R48"/>
    <mergeCell ref="S48:T48"/>
    <mergeCell ref="U48:W48"/>
    <mergeCell ref="X48:Z48"/>
    <mergeCell ref="AA48:AD48"/>
    <mergeCell ref="B50:C50"/>
    <mergeCell ref="D50:E50"/>
    <mergeCell ref="AH53:AM53"/>
    <mergeCell ref="AA54:AD54"/>
    <mergeCell ref="AE54:AG54"/>
    <mergeCell ref="AH54:AM54"/>
    <mergeCell ref="B51:C51"/>
    <mergeCell ref="B53:C53"/>
    <mergeCell ref="D53:E53"/>
    <mergeCell ref="F53:R53"/>
    <mergeCell ref="S53:T53"/>
    <mergeCell ref="U53:W53"/>
    <mergeCell ref="B52:C52"/>
    <mergeCell ref="D52:E52"/>
    <mergeCell ref="F52:R52"/>
    <mergeCell ref="S52:T52"/>
    <mergeCell ref="U52:W52"/>
    <mergeCell ref="AH52:AM52"/>
    <mergeCell ref="AE52:AG52"/>
    <mergeCell ref="F50:R50"/>
    <mergeCell ref="S50:T50"/>
    <mergeCell ref="X50:Z50"/>
    <mergeCell ref="U50:W50"/>
    <mergeCell ref="AW54:AY54"/>
    <mergeCell ref="AW55:AY55"/>
    <mergeCell ref="D54:E54"/>
    <mergeCell ref="F54:R54"/>
    <mergeCell ref="S54:T54"/>
    <mergeCell ref="U54:W54"/>
    <mergeCell ref="X54:Z54"/>
    <mergeCell ref="X53:Z53"/>
    <mergeCell ref="X52:Z52"/>
    <mergeCell ref="AA52:AD52"/>
    <mergeCell ref="AA55:AD55"/>
    <mergeCell ref="AE55:AG55"/>
    <mergeCell ref="AH55:AM55"/>
    <mergeCell ref="AA53:AD53"/>
    <mergeCell ref="AE53:AG5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fitToHeight="0" orientation="portrait" r:id="rId1"/>
  <ignoredErrors>
    <ignoredError sqref="AA32:AG34 AA45:AG47 V44:W44 AA44:AD44 AA55:AD55 AA52:AG53 V50:W50 V49:W49 V48:W48 U31:W31 AA31:AD31 V36:W36 V35:W35 AA35:AD35 AA40:AG42 V37:W37 AA37:AD37 AA48:AD48 AA36:AD36 AA49:AD49 AA50:AG50 V38:W38 AA38:AD38 V43:W43 AA43:AD43 V39:W39 AA39:AD39 U40:W42 U51:W53 U45:W47 U32:W34 AB51:AG51 AF55:AG55 AF31:AG31 AF35:AG35 AF36:AG36 AF37:AG37 AF38:AG38 AF39:AG39 AF43:AG43 AF44:AG44 AF48:AG48 AF49:AG4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70" zoomScaleNormal="70" workbookViewId="0">
      <pane ySplit="9" topLeftCell="A25" activePane="bottomLeft" state="frozen"/>
      <selection pane="bottomLeft" activeCell="B33" sqref="B33"/>
    </sheetView>
  </sheetViews>
  <sheetFormatPr defaultColWidth="9.140625" defaultRowHeight="12.75" x14ac:dyDescent="0.2"/>
  <cols>
    <col min="1" max="1" width="7.7109375" style="2" customWidth="1"/>
    <col min="2" max="2" width="73.140625" style="2" customWidth="1"/>
    <col min="3" max="3" width="9.7109375" style="2" customWidth="1"/>
    <col min="4" max="4" width="12" style="2" customWidth="1"/>
    <col min="5" max="5" width="8" style="2" customWidth="1"/>
    <col min="6" max="6" width="14.85546875" style="2" customWidth="1"/>
    <col min="7" max="8" width="9.42578125" style="2" customWidth="1"/>
    <col min="9" max="9" width="19" style="2" customWidth="1"/>
    <col min="10" max="10" width="12.7109375" style="2" customWidth="1"/>
    <col min="11" max="11" width="17" style="2" customWidth="1"/>
    <col min="12" max="12" width="12" style="2" customWidth="1"/>
    <col min="13" max="13" width="19.140625" style="2" customWidth="1"/>
    <col min="14" max="14" width="9.7109375" style="2" customWidth="1"/>
    <col min="15" max="15" width="13.140625" style="2" customWidth="1"/>
    <col min="16" max="16" width="17.7109375" style="2" customWidth="1"/>
    <col min="17" max="17" width="78.140625" style="1" customWidth="1"/>
    <col min="18" max="18" width="11.42578125" style="1" hidden="1" customWidth="1"/>
    <col min="19" max="19" width="3.7109375" style="1" hidden="1" customWidth="1"/>
    <col min="20" max="23" width="11.42578125" style="2" hidden="1" customWidth="1"/>
    <col min="24" max="16384" width="9.140625" style="2"/>
  </cols>
  <sheetData>
    <row r="1" spans="1:23" ht="15" x14ac:dyDescent="0.2">
      <c r="A1" s="541" t="s">
        <v>103</v>
      </c>
      <c r="B1" s="542"/>
      <c r="C1" s="542"/>
      <c r="D1" s="542"/>
      <c r="E1" s="542"/>
      <c r="F1" s="542"/>
      <c r="G1" s="543"/>
      <c r="H1" s="543"/>
      <c r="I1" s="543"/>
      <c r="J1" s="543"/>
      <c r="K1" s="543"/>
      <c r="L1" s="543"/>
      <c r="M1" s="543"/>
      <c r="N1" s="543"/>
      <c r="O1" s="543"/>
      <c r="P1" s="544"/>
      <c r="Q1" s="3"/>
      <c r="R1" s="3"/>
      <c r="S1" s="3"/>
    </row>
    <row r="2" spans="1:23" ht="8.1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</row>
    <row r="3" spans="1:23" ht="25.5" customHeight="1" x14ac:dyDescent="0.2">
      <c r="A3" s="7"/>
      <c r="B3" s="545" t="str">
        <f>'RELAÇÃO DE RUAS '!B3:F3</f>
        <v>Obra: PAVIMENTAÇÃO ASFÁLTICA</v>
      </c>
      <c r="C3" s="545"/>
      <c r="D3" s="545"/>
      <c r="E3" s="545"/>
      <c r="F3" s="6"/>
      <c r="G3" s="6"/>
      <c r="H3" s="6"/>
      <c r="I3" s="6"/>
      <c r="J3" s="6"/>
      <c r="K3" s="6"/>
      <c r="L3" s="6"/>
      <c r="M3" s="6"/>
      <c r="N3" s="6"/>
      <c r="O3" s="9" t="s">
        <v>129</v>
      </c>
      <c r="P3" s="312">
        <v>43832</v>
      </c>
      <c r="Q3" s="10"/>
      <c r="R3" s="10"/>
      <c r="S3" s="10"/>
    </row>
    <row r="4" spans="1:23" ht="8.1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0"/>
      <c r="R4" s="10"/>
      <c r="S4" s="10"/>
    </row>
    <row r="5" spans="1:23" ht="15.75" x14ac:dyDescent="0.2">
      <c r="A5" s="7"/>
      <c r="B5" s="311" t="str">
        <f>'RELAÇÃO DE RUAS '!B5</f>
        <v>Local: DIVERSAS RUAS - BAIRRO VASCO LOPES</v>
      </c>
      <c r="C5" s="1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10"/>
      <c r="R5" s="10"/>
      <c r="S5" s="10"/>
    </row>
    <row r="6" spans="1:23" ht="8.1" customHeight="1" thickBot="1" x14ac:dyDescent="0.25">
      <c r="A6" s="1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</row>
    <row r="7" spans="1:23" ht="13.5" thickBot="1" x14ac:dyDescent="0.25">
      <c r="A7" s="546" t="s">
        <v>10</v>
      </c>
      <c r="B7" s="547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8"/>
      <c r="Q7" s="16"/>
      <c r="R7" s="16"/>
      <c r="S7" s="16"/>
    </row>
    <row r="8" spans="1:23" ht="8.1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5"/>
    </row>
    <row r="9" spans="1:23" ht="38.25" x14ac:dyDescent="0.2">
      <c r="A9" s="19" t="s">
        <v>0</v>
      </c>
      <c r="B9" s="102" t="s">
        <v>11</v>
      </c>
      <c r="C9" s="102" t="s">
        <v>28</v>
      </c>
      <c r="D9" s="102" t="s">
        <v>12</v>
      </c>
      <c r="E9" s="102" t="s">
        <v>13</v>
      </c>
      <c r="F9" s="102" t="s">
        <v>14</v>
      </c>
      <c r="G9" s="102" t="s">
        <v>15</v>
      </c>
      <c r="H9" s="102" t="s">
        <v>6</v>
      </c>
      <c r="I9" s="102" t="s">
        <v>87</v>
      </c>
      <c r="J9" s="102" t="s">
        <v>16</v>
      </c>
      <c r="K9" s="102" t="s">
        <v>17</v>
      </c>
      <c r="L9" s="102" t="s">
        <v>18</v>
      </c>
      <c r="M9" s="102" t="s">
        <v>25</v>
      </c>
      <c r="N9" s="153" t="s">
        <v>19</v>
      </c>
      <c r="O9" s="103" t="s">
        <v>21</v>
      </c>
      <c r="P9" s="103" t="s">
        <v>20</v>
      </c>
      <c r="Q9" s="21"/>
      <c r="R9" s="21"/>
      <c r="S9" s="21"/>
    </row>
    <row r="10" spans="1:23" x14ac:dyDescent="0.2">
      <c r="A10" s="276">
        <v>1</v>
      </c>
      <c r="B10" s="285" t="s">
        <v>93</v>
      </c>
      <c r="C10" s="277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278"/>
      <c r="P10" s="279"/>
      <c r="Q10" s="21"/>
      <c r="R10" s="21"/>
      <c r="S10" s="21"/>
    </row>
    <row r="11" spans="1:23" x14ac:dyDescent="0.2">
      <c r="A11" s="99" t="s">
        <v>2</v>
      </c>
      <c r="B11" s="106" t="s">
        <v>102</v>
      </c>
      <c r="C11" s="107">
        <v>1</v>
      </c>
      <c r="D11" s="108">
        <v>2</v>
      </c>
      <c r="E11" s="108">
        <v>1.25</v>
      </c>
      <c r="F11" s="226">
        <f>ROUND(D11*E11,2)</f>
        <v>2.5</v>
      </c>
      <c r="G11" s="109"/>
      <c r="H11" s="109"/>
      <c r="I11" s="109"/>
      <c r="J11" s="109"/>
      <c r="K11" s="109"/>
      <c r="L11" s="109"/>
      <c r="M11" s="109"/>
      <c r="N11" s="109"/>
      <c r="O11" s="110"/>
      <c r="P11" s="111"/>
      <c r="Q11" s="21"/>
      <c r="R11" s="21"/>
      <c r="S11" s="21"/>
    </row>
    <row r="12" spans="1:23" ht="12.75" customHeight="1" x14ac:dyDescent="0.2">
      <c r="A12" s="115"/>
      <c r="B12" s="112"/>
      <c r="C12" s="10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20"/>
      <c r="P12" s="24"/>
      <c r="Q12" s="23"/>
      <c r="R12" s="23"/>
      <c r="S12" s="23"/>
    </row>
    <row r="13" spans="1:23" ht="16.5" customHeight="1" x14ac:dyDescent="0.2">
      <c r="A13" s="152">
        <v>2</v>
      </c>
      <c r="B13" s="269" t="s">
        <v>89</v>
      </c>
      <c r="C13" s="275"/>
      <c r="D13" s="275"/>
      <c r="E13" s="275"/>
      <c r="F13" s="267"/>
      <c r="G13" s="267"/>
      <c r="H13" s="267"/>
      <c r="I13" s="267"/>
      <c r="J13" s="267"/>
      <c r="K13" s="267"/>
      <c r="L13" s="267"/>
      <c r="M13" s="267"/>
      <c r="N13" s="267"/>
      <c r="O13" s="271"/>
      <c r="P13" s="271"/>
      <c r="Q13" s="23"/>
      <c r="R13" s="23"/>
      <c r="S13" s="23"/>
    </row>
    <row r="14" spans="1:23" ht="36.75" customHeight="1" x14ac:dyDescent="0.2">
      <c r="A14" s="116" t="s">
        <v>3</v>
      </c>
      <c r="B14" s="224" t="s">
        <v>85</v>
      </c>
      <c r="C14" s="109"/>
      <c r="D14" s="42"/>
      <c r="E14" s="42"/>
      <c r="F14" s="27">
        <f>'RELAÇÃO DE RUAS '!G18</f>
        <v>3490.9700000000003</v>
      </c>
      <c r="G14" s="121"/>
      <c r="H14" s="121"/>
      <c r="I14" s="42"/>
      <c r="J14" s="42"/>
      <c r="K14" s="42"/>
      <c r="L14" s="42"/>
      <c r="M14" s="42"/>
      <c r="N14" s="42"/>
      <c r="O14" s="42"/>
      <c r="P14" s="122"/>
      <c r="Q14" s="23"/>
      <c r="R14" s="23">
        <v>1.42</v>
      </c>
      <c r="S14" s="23"/>
      <c r="T14" s="28"/>
    </row>
    <row r="15" spans="1:23" ht="37.5" customHeight="1" x14ac:dyDescent="0.2">
      <c r="A15" s="116" t="s">
        <v>22</v>
      </c>
      <c r="B15" s="224" t="s">
        <v>86</v>
      </c>
      <c r="C15" s="113"/>
      <c r="D15" s="123"/>
      <c r="E15" s="42"/>
      <c r="F15" s="42">
        <f>F14</f>
        <v>3490.9700000000003</v>
      </c>
      <c r="G15" s="42">
        <v>0.15</v>
      </c>
      <c r="H15" s="42"/>
      <c r="I15" s="42"/>
      <c r="J15" s="27">
        <f>ROUND(F15*G15,2)</f>
        <v>523.65</v>
      </c>
      <c r="K15" s="42"/>
      <c r="L15" s="42"/>
      <c r="M15" s="42"/>
      <c r="N15" s="42"/>
      <c r="O15" s="42"/>
      <c r="P15" s="24"/>
      <c r="Q15" s="23"/>
      <c r="R15" s="23"/>
      <c r="S15" s="23"/>
    </row>
    <row r="16" spans="1:23" ht="45.75" customHeight="1" x14ac:dyDescent="0.2">
      <c r="A16" s="116" t="s">
        <v>33</v>
      </c>
      <c r="B16" s="224" t="s">
        <v>209</v>
      </c>
      <c r="C16" s="113"/>
      <c r="D16" s="123"/>
      <c r="E16" s="42"/>
      <c r="F16" s="42"/>
      <c r="G16" s="121"/>
      <c r="H16" s="121"/>
      <c r="I16" s="121"/>
      <c r="J16" s="27">
        <f>J15</f>
        <v>523.65</v>
      </c>
      <c r="K16" s="42"/>
      <c r="L16" s="46"/>
      <c r="M16" s="46"/>
      <c r="N16" s="267">
        <v>2.77</v>
      </c>
      <c r="O16" s="27">
        <f>ROUND(J16*N16,2)</f>
        <v>1450.51</v>
      </c>
      <c r="P16" s="24"/>
      <c r="Q16" s="286" t="s">
        <v>200</v>
      </c>
      <c r="R16" s="31"/>
      <c r="S16" s="31"/>
      <c r="T16" s="32"/>
      <c r="U16" s="33"/>
      <c r="V16" s="34"/>
      <c r="W16" s="34"/>
    </row>
    <row r="17" spans="1:23" ht="24" customHeight="1" x14ac:dyDescent="0.2">
      <c r="A17" s="116" t="s">
        <v>95</v>
      </c>
      <c r="B17" s="224" t="s">
        <v>199</v>
      </c>
      <c r="C17" s="113"/>
      <c r="D17" s="123"/>
      <c r="E17" s="42"/>
      <c r="F17" s="27">
        <f>'RELAÇÃO DE RUAS '!H18</f>
        <v>3161.17</v>
      </c>
      <c r="G17" s="121"/>
      <c r="H17" s="121"/>
      <c r="I17" s="121"/>
      <c r="J17" s="46"/>
      <c r="K17" s="42"/>
      <c r="L17" s="42"/>
      <c r="M17" s="46"/>
      <c r="N17" s="42"/>
      <c r="O17" s="120"/>
      <c r="P17" s="24"/>
      <c r="S17" s="35"/>
      <c r="T17" s="1"/>
      <c r="U17" s="36"/>
      <c r="V17" s="37"/>
      <c r="W17" s="30"/>
    </row>
    <row r="18" spans="1:23" ht="20.25" customHeight="1" x14ac:dyDescent="0.2">
      <c r="A18" s="116" t="s">
        <v>96</v>
      </c>
      <c r="B18" s="224" t="s">
        <v>88</v>
      </c>
      <c r="C18" s="113"/>
      <c r="D18" s="123"/>
      <c r="E18" s="42"/>
      <c r="F18" s="27">
        <f>'RELAÇÃO DE RUAS '!H18</f>
        <v>3161.17</v>
      </c>
      <c r="G18" s="124"/>
      <c r="H18" s="124"/>
      <c r="I18" s="124"/>
      <c r="J18" s="46"/>
      <c r="K18" s="46"/>
      <c r="L18" s="46"/>
      <c r="M18" s="46"/>
      <c r="N18" s="46"/>
      <c r="O18" s="96"/>
      <c r="P18" s="48"/>
      <c r="R18" s="31"/>
      <c r="S18" s="31"/>
      <c r="T18" s="32"/>
      <c r="U18" s="33"/>
      <c r="V18" s="34"/>
      <c r="W18" s="34"/>
    </row>
    <row r="19" spans="1:23" ht="36.75" customHeight="1" x14ac:dyDescent="0.2">
      <c r="A19" s="116" t="s">
        <v>97</v>
      </c>
      <c r="B19" s="224" t="s">
        <v>208</v>
      </c>
      <c r="C19" s="113"/>
      <c r="D19" s="123"/>
      <c r="E19" s="42"/>
      <c r="F19" s="46">
        <f>F18</f>
        <v>3161.17</v>
      </c>
      <c r="G19" s="124">
        <v>0.03</v>
      </c>
      <c r="H19" s="124"/>
      <c r="I19" s="124"/>
      <c r="J19" s="27">
        <f>ROUND(F19*G19,2)</f>
        <v>94.84</v>
      </c>
      <c r="K19" s="46">
        <v>2.4</v>
      </c>
      <c r="L19" s="46"/>
      <c r="M19" s="46"/>
      <c r="N19" s="46"/>
      <c r="O19" s="96"/>
      <c r="P19" s="48"/>
      <c r="T19" s="35"/>
      <c r="U19" s="36"/>
      <c r="V19" s="37"/>
      <c r="W19" s="44"/>
    </row>
    <row r="20" spans="1:23" ht="42" customHeight="1" x14ac:dyDescent="0.2">
      <c r="A20" s="116" t="s">
        <v>98</v>
      </c>
      <c r="B20" s="224" t="s">
        <v>210</v>
      </c>
      <c r="C20" s="113"/>
      <c r="D20" s="123"/>
      <c r="E20" s="42"/>
      <c r="F20" s="46"/>
      <c r="G20" s="124"/>
      <c r="H20" s="124"/>
      <c r="I20" s="124"/>
      <c r="J20" s="46"/>
      <c r="K20" s="46"/>
      <c r="L20" s="46">
        <f>L19</f>
        <v>0</v>
      </c>
      <c r="M20" s="46"/>
      <c r="N20" s="267">
        <v>84.2</v>
      </c>
      <c r="O20" s="96"/>
      <c r="P20" s="29">
        <f>ROUND(J19*N20,2)</f>
        <v>7985.53</v>
      </c>
      <c r="T20" s="35"/>
      <c r="U20" s="36"/>
      <c r="V20" s="37"/>
      <c r="W20" s="44"/>
    </row>
    <row r="21" spans="1:23" ht="20.25" customHeight="1" x14ac:dyDescent="0.2">
      <c r="A21" s="268">
        <v>3</v>
      </c>
      <c r="B21" s="269" t="s">
        <v>90</v>
      </c>
      <c r="C21" s="272"/>
      <c r="D21" s="273"/>
      <c r="E21" s="267"/>
      <c r="F21" s="267"/>
      <c r="G21" s="270"/>
      <c r="H21" s="270"/>
      <c r="I21" s="270"/>
      <c r="J21" s="267"/>
      <c r="K21" s="267"/>
      <c r="L21" s="267"/>
      <c r="M21" s="267"/>
      <c r="N21" s="267"/>
      <c r="O21" s="274"/>
      <c r="P21" s="271"/>
      <c r="T21" s="35"/>
      <c r="U21" s="36"/>
      <c r="V21" s="37"/>
      <c r="W21" s="30"/>
    </row>
    <row r="22" spans="1:23" ht="51" x14ac:dyDescent="0.2">
      <c r="A22" s="41" t="s">
        <v>5</v>
      </c>
      <c r="B22" s="224" t="s">
        <v>124</v>
      </c>
      <c r="C22" s="109"/>
      <c r="D22" s="27">
        <f>'RELAÇÃO DE RUAS '!O19</f>
        <v>430.61000000000007</v>
      </c>
      <c r="E22" s="42"/>
      <c r="F22" s="46"/>
      <c r="G22" s="121"/>
      <c r="H22" s="121"/>
      <c r="I22" s="121"/>
      <c r="J22" s="46"/>
      <c r="K22" s="42"/>
      <c r="L22" s="46"/>
      <c r="M22" s="46"/>
      <c r="N22" s="42"/>
      <c r="O22" s="42"/>
      <c r="P22" s="24"/>
      <c r="R22" s="31"/>
      <c r="S22" s="31"/>
      <c r="T22" s="32"/>
      <c r="U22" s="33"/>
      <c r="V22" s="34"/>
      <c r="W22" s="34"/>
    </row>
    <row r="23" spans="1:23" ht="28.5" customHeight="1" x14ac:dyDescent="0.2">
      <c r="A23" s="41" t="s">
        <v>26</v>
      </c>
      <c r="B23" s="224" t="s">
        <v>195</v>
      </c>
      <c r="C23" s="109"/>
      <c r="D23" s="27">
        <v>800.6</v>
      </c>
      <c r="E23" s="109"/>
      <c r="F23" s="46"/>
      <c r="G23" s="121"/>
      <c r="H23" s="121"/>
      <c r="I23" s="121"/>
      <c r="J23" s="46"/>
      <c r="K23" s="42"/>
      <c r="L23" s="46"/>
      <c r="M23" s="46"/>
      <c r="N23" s="42"/>
      <c r="O23" s="42"/>
      <c r="P23" s="24"/>
      <c r="T23" s="35"/>
      <c r="U23" s="36"/>
      <c r="V23" s="37"/>
      <c r="W23" s="30"/>
    </row>
    <row r="24" spans="1:23" ht="17.25" customHeight="1" x14ac:dyDescent="0.2">
      <c r="A24" s="268">
        <v>4</v>
      </c>
      <c r="B24" s="269" t="s">
        <v>92</v>
      </c>
      <c r="C24" s="269"/>
      <c r="D24" s="267"/>
      <c r="E24" s="269"/>
      <c r="F24" s="267"/>
      <c r="G24" s="270"/>
      <c r="H24" s="270"/>
      <c r="I24" s="270"/>
      <c r="J24" s="267"/>
      <c r="K24" s="267"/>
      <c r="L24" s="267"/>
      <c r="M24" s="267"/>
      <c r="N24" s="267"/>
      <c r="O24" s="267"/>
      <c r="P24" s="271"/>
      <c r="T24" s="35"/>
      <c r="U24" s="36"/>
      <c r="V24" s="37"/>
      <c r="W24" s="30"/>
    </row>
    <row r="25" spans="1:23" ht="36" customHeight="1" x14ac:dyDescent="0.2">
      <c r="A25" s="41" t="s">
        <v>23</v>
      </c>
      <c r="B25" s="225" t="s">
        <v>193</v>
      </c>
      <c r="C25" s="114">
        <f>'RELAÇÃO DE RUAS '!J18</f>
        <v>5</v>
      </c>
      <c r="D25" s="42"/>
      <c r="E25" s="42"/>
      <c r="F25" s="46"/>
      <c r="G25" s="121"/>
      <c r="H25" s="121"/>
      <c r="I25" s="121"/>
      <c r="J25" s="46"/>
      <c r="K25" s="42"/>
      <c r="L25" s="46"/>
      <c r="M25" s="46"/>
      <c r="N25" s="42"/>
      <c r="O25" s="42"/>
      <c r="P25" s="24"/>
      <c r="R25" s="31"/>
      <c r="S25" s="31"/>
      <c r="T25" s="32"/>
      <c r="U25" s="33"/>
      <c r="V25" s="34"/>
      <c r="W25" s="34"/>
    </row>
    <row r="26" spans="1:23" ht="42" customHeight="1" thickBot="1" x14ac:dyDescent="0.25">
      <c r="A26" s="41" t="s">
        <v>32</v>
      </c>
      <c r="B26" s="225" t="s">
        <v>123</v>
      </c>
      <c r="C26" s="109"/>
      <c r="D26" s="42"/>
      <c r="E26" s="42"/>
      <c r="F26" s="27">
        <f>'RELAÇÃO DE RUAS '!K18</f>
        <v>51.78</v>
      </c>
      <c r="G26" s="121"/>
      <c r="H26" s="121"/>
      <c r="I26" s="121"/>
      <c r="J26" s="46"/>
      <c r="K26" s="42"/>
      <c r="L26" s="46"/>
      <c r="M26" s="46"/>
      <c r="N26" s="42"/>
      <c r="O26" s="42"/>
      <c r="P26" s="24"/>
      <c r="T26" s="1"/>
    </row>
    <row r="27" spans="1:23" ht="51.75" thickBot="1" x14ac:dyDescent="0.25">
      <c r="A27" s="41" t="s">
        <v>31</v>
      </c>
      <c r="B27" s="225" t="s">
        <v>196</v>
      </c>
      <c r="C27" s="114">
        <f>'RELAÇÃO DE RUAS '!I18</f>
        <v>5</v>
      </c>
      <c r="D27" s="109"/>
      <c r="E27" s="109"/>
      <c r="F27" s="42"/>
      <c r="G27" s="121"/>
      <c r="H27" s="121"/>
      <c r="I27" s="121"/>
      <c r="J27" s="46"/>
      <c r="K27" s="42"/>
      <c r="L27" s="46"/>
      <c r="M27" s="46"/>
      <c r="N27" s="42"/>
      <c r="O27" s="42"/>
      <c r="P27" s="24"/>
      <c r="Q27" s="47"/>
      <c r="R27" s="38"/>
      <c r="S27" s="38"/>
      <c r="T27" s="38"/>
      <c r="U27" s="39"/>
      <c r="V27" s="39"/>
      <c r="W27" s="40"/>
    </row>
    <row r="28" spans="1:23" x14ac:dyDescent="0.2">
      <c r="A28" s="280">
        <v>5</v>
      </c>
      <c r="B28" s="281" t="s">
        <v>100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3"/>
      <c r="P28" s="284"/>
      <c r="Q28" s="2"/>
      <c r="R28" s="2"/>
      <c r="S28" s="2"/>
    </row>
    <row r="29" spans="1:23" ht="37.5" customHeight="1" x14ac:dyDescent="0.2">
      <c r="A29" s="117" t="s">
        <v>27</v>
      </c>
      <c r="B29" s="100" t="s">
        <v>192</v>
      </c>
      <c r="C29" s="182">
        <f>'RELAÇÃO DE RUAS '!S19</f>
        <v>430.60999999999996</v>
      </c>
      <c r="D29" s="101"/>
      <c r="E29" s="101">
        <v>1.5</v>
      </c>
      <c r="F29" s="230">
        <v>501.4</v>
      </c>
      <c r="G29" s="101">
        <v>0.06</v>
      </c>
      <c r="H29" s="101"/>
      <c r="I29" s="101"/>
      <c r="J29" s="231">
        <v>45.125999999999998</v>
      </c>
      <c r="K29" s="101"/>
      <c r="L29" s="101"/>
      <c r="M29" s="101"/>
      <c r="N29" s="101"/>
      <c r="O29" s="125"/>
      <c r="P29" s="126"/>
      <c r="Q29" s="2"/>
      <c r="R29" s="2"/>
      <c r="S29" s="2"/>
    </row>
    <row r="30" spans="1:23" ht="45" customHeight="1" thickBot="1" x14ac:dyDescent="0.25">
      <c r="A30" s="118" t="s">
        <v>91</v>
      </c>
      <c r="B30" s="291" t="s">
        <v>198</v>
      </c>
      <c r="C30" s="119">
        <f>'RELAÇÃO DE RUAS '!L18</f>
        <v>6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8"/>
      <c r="P30" s="129"/>
      <c r="Q30" s="2"/>
      <c r="R30" s="2"/>
      <c r="S30" s="2"/>
    </row>
    <row r="32" spans="1:23" s="145" customFormat="1" x14ac:dyDescent="0.2">
      <c r="Q32" s="1"/>
      <c r="R32" s="1"/>
      <c r="S32" s="1"/>
    </row>
    <row r="33" spans="3:16" x14ac:dyDescent="0.2">
      <c r="L33" s="5"/>
      <c r="M33" s="5"/>
      <c r="N33" s="5"/>
      <c r="O33" s="5"/>
      <c r="P33" s="5"/>
    </row>
    <row r="34" spans="3:16" ht="18" x14ac:dyDescent="0.2">
      <c r="C34" s="174"/>
      <c r="D34" s="175" t="s">
        <v>131</v>
      </c>
      <c r="E34" s="176"/>
      <c r="F34" s="177">
        <f>SUM(J29:J29)</f>
        <v>45.125999999999998</v>
      </c>
      <c r="H34" s="175" t="s">
        <v>126</v>
      </c>
      <c r="I34" s="176"/>
      <c r="J34" s="177"/>
      <c r="L34" s="263"/>
      <c r="M34" s="263"/>
      <c r="N34" s="264"/>
      <c r="O34" s="5"/>
      <c r="P34" s="5"/>
    </row>
    <row r="35" spans="3:16" x14ac:dyDescent="0.2">
      <c r="C35" s="174"/>
      <c r="D35" s="178" t="s">
        <v>132</v>
      </c>
      <c r="E35" s="179" t="s">
        <v>29</v>
      </c>
      <c r="F35" s="174"/>
      <c r="H35" s="178" t="s">
        <v>127</v>
      </c>
      <c r="I35" s="179"/>
      <c r="J35" s="174"/>
      <c r="L35" s="263"/>
      <c r="M35" s="263"/>
      <c r="N35" s="263"/>
      <c r="O35" s="5"/>
      <c r="P35" s="5"/>
    </row>
    <row r="36" spans="3:16" x14ac:dyDescent="0.2">
      <c r="C36" s="174"/>
      <c r="D36" s="180"/>
      <c r="E36" s="181"/>
      <c r="F36" s="174"/>
      <c r="H36" s="180" t="s">
        <v>128</v>
      </c>
      <c r="I36" s="181"/>
      <c r="J36" s="174"/>
      <c r="L36" s="263"/>
      <c r="M36" s="263"/>
      <c r="N36" s="263"/>
      <c r="O36" s="5"/>
      <c r="P36" s="5"/>
    </row>
    <row r="37" spans="3:16" x14ac:dyDescent="0.2">
      <c r="L37" s="5"/>
      <c r="M37" s="5"/>
      <c r="N37" s="5"/>
      <c r="O37" s="5"/>
      <c r="P37" s="5"/>
    </row>
  </sheetData>
  <mergeCells count="3">
    <mergeCell ref="A1:P1"/>
    <mergeCell ref="B3:E3"/>
    <mergeCell ref="A7:P7"/>
  </mergeCells>
  <pageMargins left="0.51181102362204722" right="0.51181102362204722" top="0.78740157480314965" bottom="0.78740157480314965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I58" workbookViewId="0">
      <selection activeCell="N24" sqref="N24"/>
    </sheetView>
  </sheetViews>
  <sheetFormatPr defaultRowHeight="12.75" x14ac:dyDescent="0.2"/>
  <cols>
    <col min="1" max="8" width="0" hidden="1" customWidth="1"/>
    <col min="12" max="12" width="13" customWidth="1"/>
    <col min="14" max="14" width="11.140625" bestFit="1" customWidth="1"/>
    <col min="15" max="15" width="9.85546875" customWidth="1"/>
    <col min="16" max="16" width="10.42578125" customWidth="1"/>
  </cols>
  <sheetData>
    <row r="1" spans="1:19" ht="15.75" x14ac:dyDescent="0.25">
      <c r="A1" s="191"/>
      <c r="B1" s="191"/>
      <c r="C1" s="191"/>
      <c r="D1" s="191"/>
      <c r="E1" s="192" t="s">
        <v>133</v>
      </c>
      <c r="F1" s="192" t="s">
        <v>134</v>
      </c>
      <c r="G1" s="192" t="s">
        <v>135</v>
      </c>
      <c r="H1" s="191"/>
      <c r="I1" s="191"/>
      <c r="J1" s="191"/>
      <c r="K1" s="191"/>
      <c r="L1" s="191"/>
      <c r="M1" s="191"/>
      <c r="N1" s="193" t="s">
        <v>190</v>
      </c>
      <c r="O1" s="191"/>
      <c r="P1" s="191"/>
      <c r="Q1" s="144"/>
      <c r="R1" s="144"/>
      <c r="S1" s="191"/>
    </row>
    <row r="2" spans="1:19" x14ac:dyDescent="0.2">
      <c r="A2" s="191" t="s">
        <v>136</v>
      </c>
      <c r="B2" s="194" t="s">
        <v>137</v>
      </c>
      <c r="C2" s="191" t="str">
        <f t="shared" ref="C2:C49" si="0">CONCATENATE(A2,"-",B2)</f>
        <v>Construção e Reforma de Edifícios-AC</v>
      </c>
      <c r="D2" s="191"/>
      <c r="E2" s="195">
        <v>0.03</v>
      </c>
      <c r="F2" s="195">
        <v>0.04</v>
      </c>
      <c r="G2" s="195">
        <v>5.5E-2</v>
      </c>
      <c r="H2" s="191"/>
      <c r="I2" s="191"/>
      <c r="J2" s="191"/>
      <c r="K2" s="191"/>
      <c r="L2" s="191"/>
      <c r="M2" s="191"/>
      <c r="N2" s="191"/>
      <c r="O2" s="191"/>
      <c r="P2" s="191"/>
      <c r="Q2" s="144"/>
      <c r="R2" s="144"/>
      <c r="S2" s="191"/>
    </row>
    <row r="3" spans="1:19" x14ac:dyDescent="0.2">
      <c r="A3" s="191" t="str">
        <f>A2</f>
        <v>Construção e Reforma de Edifícios</v>
      </c>
      <c r="B3" s="194" t="s">
        <v>138</v>
      </c>
      <c r="C3" s="191" t="str">
        <f t="shared" si="0"/>
        <v>Construção e Reforma de Edifícios-SG</v>
      </c>
      <c r="D3" s="191"/>
      <c r="E3" s="195">
        <v>8.0000000000000002E-3</v>
      </c>
      <c r="F3" s="195">
        <v>8.0000000000000002E-3</v>
      </c>
      <c r="G3" s="195">
        <v>0.01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x14ac:dyDescent="0.2">
      <c r="A4" s="191" t="str">
        <f>A3</f>
        <v>Construção e Reforma de Edifícios</v>
      </c>
      <c r="B4" s="194" t="s">
        <v>139</v>
      </c>
      <c r="C4" s="191" t="str">
        <f t="shared" si="0"/>
        <v>Construção e Reforma de Edifícios-R</v>
      </c>
      <c r="D4" s="191"/>
      <c r="E4" s="195">
        <v>9.7000000000000003E-3</v>
      </c>
      <c r="F4" s="195">
        <v>1.2699999999999999E-2</v>
      </c>
      <c r="G4" s="195">
        <v>1.2699999999999999E-2</v>
      </c>
      <c r="H4" s="191"/>
      <c r="I4" s="577" t="s">
        <v>140</v>
      </c>
      <c r="J4" s="579"/>
      <c r="K4" s="577" t="s">
        <v>141</v>
      </c>
      <c r="L4" s="578"/>
      <c r="M4" s="578"/>
      <c r="N4" s="578"/>
      <c r="O4" s="578"/>
      <c r="P4" s="578"/>
      <c r="Q4" s="578"/>
      <c r="R4" s="579"/>
      <c r="S4" s="191"/>
    </row>
    <row r="5" spans="1:19" ht="19.5" x14ac:dyDescent="0.3">
      <c r="A5" s="191" t="str">
        <f>A4</f>
        <v>Construção e Reforma de Edifícios</v>
      </c>
      <c r="B5" s="194" t="s">
        <v>142</v>
      </c>
      <c r="C5" s="191" t="str">
        <f t="shared" si="0"/>
        <v>Construção e Reforma de Edifícios-DF</v>
      </c>
      <c r="D5" s="191"/>
      <c r="E5" s="195">
        <v>5.8999999999999999E-3</v>
      </c>
      <c r="F5" s="195">
        <v>1.23E-2</v>
      </c>
      <c r="G5" s="195">
        <v>1.3899999999999999E-2</v>
      </c>
      <c r="H5" s="191"/>
      <c r="I5" s="587">
        <f>[1]DADOS!A29</f>
        <v>0</v>
      </c>
      <c r="J5" s="588"/>
      <c r="K5" s="589" t="str">
        <f>[1]DADOS!A32</f>
        <v>PREFEITURA MUNICPAL DE PAPAGAIOS</v>
      </c>
      <c r="L5" s="590"/>
      <c r="M5" s="590"/>
      <c r="N5" s="590"/>
      <c r="O5" s="590"/>
      <c r="P5" s="590"/>
      <c r="Q5" s="590"/>
      <c r="R5" s="591"/>
      <c r="S5" s="196"/>
    </row>
    <row r="6" spans="1:19" x14ac:dyDescent="0.2">
      <c r="A6" s="191" t="str">
        <f>A5</f>
        <v>Construção e Reforma de Edifícios</v>
      </c>
      <c r="B6" s="194" t="s">
        <v>143</v>
      </c>
      <c r="C6" s="191" t="str">
        <f t="shared" si="0"/>
        <v>Construção e Reforma de Edifícios-L</v>
      </c>
      <c r="D6" s="191"/>
      <c r="E6" s="195">
        <v>6.1600000000000002E-2</v>
      </c>
      <c r="F6" s="195">
        <v>7.400000000000001E-2</v>
      </c>
      <c r="G6" s="195">
        <v>8.9600000000000013E-2</v>
      </c>
      <c r="H6" s="191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1"/>
    </row>
    <row r="7" spans="1:19" x14ac:dyDescent="0.2">
      <c r="A7" s="191" t="str">
        <f>A6</f>
        <v>Construção e Reforma de Edifícios</v>
      </c>
      <c r="B7" s="198" t="s">
        <v>144</v>
      </c>
      <c r="C7" s="191" t="str">
        <f t="shared" si="0"/>
        <v>Construção e Reforma de Edifícios-BDI PAD</v>
      </c>
      <c r="D7" s="191"/>
      <c r="E7" s="195">
        <v>0.2034</v>
      </c>
      <c r="F7" s="195">
        <v>0.22120000000000001</v>
      </c>
      <c r="G7" s="195">
        <v>0.25</v>
      </c>
      <c r="H7" s="191"/>
      <c r="I7" s="577" t="s">
        <v>145</v>
      </c>
      <c r="J7" s="578"/>
      <c r="K7" s="578"/>
      <c r="L7" s="578"/>
      <c r="M7" s="578"/>
      <c r="N7" s="578"/>
      <c r="O7" s="578"/>
      <c r="P7" s="578"/>
      <c r="Q7" s="578"/>
      <c r="R7" s="579"/>
      <c r="S7" s="191"/>
    </row>
    <row r="8" spans="1:19" x14ac:dyDescent="0.2">
      <c r="A8" s="191" t="s">
        <v>146</v>
      </c>
      <c r="B8" s="194" t="s">
        <v>137</v>
      </c>
      <c r="C8" s="191" t="str">
        <f t="shared" si="0"/>
        <v>Construção de Praças Urbanas, Rodovias, Ferrovias e recapeamento e pavimentação de vias urbanas-AC</v>
      </c>
      <c r="D8" s="191"/>
      <c r="E8" s="195">
        <v>3.7999999999999999E-2</v>
      </c>
      <c r="F8" s="195">
        <v>4.0099999999999997E-2</v>
      </c>
      <c r="G8" s="195">
        <v>4.6699999999999998E-2</v>
      </c>
      <c r="H8" s="191"/>
      <c r="I8" s="586" t="str">
        <f>[1]DADOS!P29</f>
        <v xml:space="preserve">PAVIMENTAÇÃO </v>
      </c>
      <c r="J8" s="586"/>
      <c r="K8" s="586"/>
      <c r="L8" s="586"/>
      <c r="M8" s="586"/>
      <c r="N8" s="586"/>
      <c r="O8" s="586"/>
      <c r="P8" s="586"/>
      <c r="Q8" s="586"/>
      <c r="R8" s="586"/>
      <c r="S8" s="191"/>
    </row>
    <row r="9" spans="1:19" x14ac:dyDescent="0.2">
      <c r="A9" s="191" t="s">
        <v>146</v>
      </c>
      <c r="B9" s="194" t="s">
        <v>138</v>
      </c>
      <c r="C9" s="191" t="str">
        <f t="shared" si="0"/>
        <v>Construção de Praças Urbanas, Rodovias, Ferrovias e recapeamento e pavimentação de vias urbanas-SG</v>
      </c>
      <c r="D9" s="191"/>
      <c r="E9" s="195">
        <v>3.2000000000000002E-3</v>
      </c>
      <c r="F9" s="195">
        <v>4.0000000000000001E-3</v>
      </c>
      <c r="G9" s="195">
        <v>7.4000000000000003E-3</v>
      </c>
      <c r="H9" s="191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1"/>
    </row>
    <row r="10" spans="1:19" x14ac:dyDescent="0.2">
      <c r="A10" s="191" t="s">
        <v>146</v>
      </c>
      <c r="B10" s="194" t="s">
        <v>139</v>
      </c>
      <c r="C10" s="191" t="str">
        <f t="shared" si="0"/>
        <v>Construção de Praças Urbanas, Rodovias, Ferrovias e recapeamento e pavimentação de vias urbanas-R</v>
      </c>
      <c r="D10" s="191"/>
      <c r="E10" s="195">
        <v>5.0000000000000001E-3</v>
      </c>
      <c r="F10" s="195">
        <v>5.6000000000000008E-3</v>
      </c>
      <c r="G10" s="195">
        <v>9.7000000000000003E-3</v>
      </c>
      <c r="H10" s="191"/>
      <c r="I10" s="577" t="s">
        <v>147</v>
      </c>
      <c r="J10" s="578"/>
      <c r="K10" s="578"/>
      <c r="L10" s="578"/>
      <c r="M10" s="578"/>
      <c r="N10" s="578"/>
      <c r="O10" s="578"/>
      <c r="P10" s="578"/>
      <c r="Q10" s="577" t="s">
        <v>148</v>
      </c>
      <c r="R10" s="579"/>
      <c r="S10" s="191"/>
    </row>
    <row r="11" spans="1:19" x14ac:dyDescent="0.2">
      <c r="A11" s="191" t="s">
        <v>146</v>
      </c>
      <c r="B11" s="194" t="s">
        <v>142</v>
      </c>
      <c r="C11" s="191" t="str">
        <f t="shared" si="0"/>
        <v>Construção de Praças Urbanas, Rodovias, Ferrovias e recapeamento e pavimentação de vias urbanas-DF</v>
      </c>
      <c r="D11" s="191"/>
      <c r="E11" s="195">
        <v>1.0200000000000001E-2</v>
      </c>
      <c r="F11" s="195">
        <v>1.11E-2</v>
      </c>
      <c r="G11" s="195">
        <v>1.21E-2</v>
      </c>
      <c r="H11" s="191"/>
      <c r="I11" s="580" t="s">
        <v>146</v>
      </c>
      <c r="J11" s="581"/>
      <c r="K11" s="581"/>
      <c r="L11" s="581"/>
      <c r="M11" s="581"/>
      <c r="N11" s="581"/>
      <c r="O11" s="581"/>
      <c r="P11" s="582"/>
      <c r="Q11" s="583" t="str">
        <f>[1]DADOS!$C$38</f>
        <v>Sim</v>
      </c>
      <c r="R11" s="584"/>
      <c r="S11" s="191"/>
    </row>
    <row r="12" spans="1:19" x14ac:dyDescent="0.2">
      <c r="A12" s="191" t="s">
        <v>146</v>
      </c>
      <c r="B12" s="194" t="s">
        <v>143</v>
      </c>
      <c r="C12" s="191" t="str">
        <f t="shared" si="0"/>
        <v>Construção de Praças Urbanas, Rodovias, Ferrovias e recapeamento e pavimentação de vias urbanas-L</v>
      </c>
      <c r="D12" s="191"/>
      <c r="E12" s="195">
        <v>6.6400000000000001E-2</v>
      </c>
      <c r="F12" s="195">
        <v>7.2999999999999995E-2</v>
      </c>
      <c r="G12" s="195">
        <v>8.6899999999999991E-2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</row>
    <row r="13" spans="1:19" ht="24" customHeight="1" x14ac:dyDescent="0.2">
      <c r="A13" s="191" t="s">
        <v>146</v>
      </c>
      <c r="B13" s="198" t="s">
        <v>144</v>
      </c>
      <c r="C13" s="191" t="str">
        <f t="shared" si="0"/>
        <v>Construção de Praças Urbanas, Rodovias, Ferrovias e recapeamento e pavimentação de vias urbanas-BDI PAD</v>
      </c>
      <c r="D13" s="191"/>
      <c r="E13" s="195">
        <v>0.19600000000000001</v>
      </c>
      <c r="F13" s="195">
        <v>0.2097</v>
      </c>
      <c r="G13" s="195">
        <v>0.24230000000000002</v>
      </c>
      <c r="H13" s="191"/>
      <c r="I13" s="585" t="s">
        <v>149</v>
      </c>
      <c r="J13" s="585"/>
      <c r="K13" s="585"/>
      <c r="L13" s="585"/>
      <c r="M13" s="585"/>
      <c r="N13" s="585"/>
      <c r="O13" s="585"/>
      <c r="P13" s="585"/>
      <c r="Q13" s="572">
        <v>1</v>
      </c>
      <c r="R13" s="572"/>
      <c r="S13" s="191"/>
    </row>
    <row r="14" spans="1:19" x14ac:dyDescent="0.2">
      <c r="A14" s="191" t="s">
        <v>150</v>
      </c>
      <c r="B14" s="194" t="s">
        <v>137</v>
      </c>
      <c r="C14" s="191" t="str">
        <f t="shared" si="0"/>
        <v>Construção de Redes de Abastecimento de Água, Coleta de Esgoto-AC</v>
      </c>
      <c r="D14" s="191"/>
      <c r="E14" s="195">
        <v>3.4300000000000004E-2</v>
      </c>
      <c r="F14" s="195">
        <v>4.9299999999999997E-2</v>
      </c>
      <c r="G14" s="195">
        <v>6.7099999999999993E-2</v>
      </c>
      <c r="H14" s="191"/>
      <c r="I14" s="571" t="s">
        <v>151</v>
      </c>
      <c r="J14" s="571"/>
      <c r="K14" s="571"/>
      <c r="L14" s="571"/>
      <c r="M14" s="571"/>
      <c r="N14" s="571"/>
      <c r="O14" s="571"/>
      <c r="P14" s="571"/>
      <c r="Q14" s="572">
        <v>0.02</v>
      </c>
      <c r="R14" s="572"/>
      <c r="S14" s="191"/>
    </row>
    <row r="15" spans="1:19" x14ac:dyDescent="0.2">
      <c r="A15" s="191" t="str">
        <f>A14</f>
        <v>Construção de Redes de Abastecimento de Água, Coleta de Esgoto</v>
      </c>
      <c r="B15" s="194" t="s">
        <v>138</v>
      </c>
      <c r="C15" s="191" t="str">
        <f t="shared" si="0"/>
        <v>Construção de Redes de Abastecimento de Água, Coleta de Esgoto-SG</v>
      </c>
      <c r="D15" s="191"/>
      <c r="E15" s="195">
        <v>2.8000000000000004E-3</v>
      </c>
      <c r="F15" s="195">
        <v>4.8999999999999998E-3</v>
      </c>
      <c r="G15" s="195">
        <v>7.4999999999999997E-3</v>
      </c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x14ac:dyDescent="0.2">
      <c r="A16" s="191"/>
      <c r="B16" s="194"/>
      <c r="C16" s="191"/>
      <c r="D16" s="191"/>
      <c r="E16" s="195"/>
      <c r="F16" s="195"/>
      <c r="G16" s="195"/>
      <c r="H16" s="191"/>
      <c r="I16" s="573" t="s">
        <v>152</v>
      </c>
      <c r="J16" s="573"/>
      <c r="K16" s="573"/>
      <c r="L16" s="573"/>
      <c r="M16" s="573" t="s">
        <v>153</v>
      </c>
      <c r="N16" s="574" t="s">
        <v>154</v>
      </c>
      <c r="O16" s="574" t="s">
        <v>155</v>
      </c>
      <c r="P16" s="575" t="s">
        <v>156</v>
      </c>
      <c r="Q16" s="575" t="s">
        <v>157</v>
      </c>
      <c r="R16" s="576" t="s">
        <v>158</v>
      </c>
      <c r="S16" s="191"/>
    </row>
    <row r="17" spans="1:19" x14ac:dyDescent="0.2">
      <c r="A17" s="191" t="str">
        <f>A15</f>
        <v>Construção de Redes de Abastecimento de Água, Coleta de Esgoto</v>
      </c>
      <c r="B17" s="194" t="s">
        <v>139</v>
      </c>
      <c r="C17" s="191" t="str">
        <f t="shared" si="0"/>
        <v>Construção de Redes de Abastecimento de Água, Coleta de Esgoto-R</v>
      </c>
      <c r="D17" s="191"/>
      <c r="E17" s="195">
        <v>0.01</v>
      </c>
      <c r="F17" s="195">
        <v>1.3899999999999999E-2</v>
      </c>
      <c r="G17" s="195">
        <v>1.7399999999999999E-2</v>
      </c>
      <c r="H17" s="191"/>
      <c r="I17" s="573"/>
      <c r="J17" s="573"/>
      <c r="K17" s="573"/>
      <c r="L17" s="573"/>
      <c r="M17" s="573"/>
      <c r="N17" s="574"/>
      <c r="O17" s="574"/>
      <c r="P17" s="575"/>
      <c r="Q17" s="575"/>
      <c r="R17" s="576"/>
      <c r="S17" s="191"/>
    </row>
    <row r="18" spans="1:19" ht="15" x14ac:dyDescent="0.2">
      <c r="A18" s="191" t="str">
        <f>A17</f>
        <v>Construção de Redes de Abastecimento de Água, Coleta de Esgoto</v>
      </c>
      <c r="B18" s="194" t="s">
        <v>142</v>
      </c>
      <c r="C18" s="191" t="str">
        <f t="shared" si="0"/>
        <v>Construção de Redes de Abastecimento de Água, Coleta de Esgoto-DF</v>
      </c>
      <c r="D18" s="191"/>
      <c r="E18" s="195">
        <v>9.3999999999999986E-3</v>
      </c>
      <c r="F18" s="195">
        <v>9.8999999999999991E-3</v>
      </c>
      <c r="G18" s="195">
        <v>1.1699999999999999E-2</v>
      </c>
      <c r="H18" s="191"/>
      <c r="I18" s="567" t="str">
        <f>IF($I$11=$A$59,"Encargos Sociais incidentes sobre a mão de obra","Administração Central")</f>
        <v>Administração Central</v>
      </c>
      <c r="J18" s="567"/>
      <c r="K18" s="567"/>
      <c r="L18" s="567"/>
      <c r="M18" s="199" t="str">
        <f>IF($I$11=$A$59,"K1","AC")</f>
        <v>AC</v>
      </c>
      <c r="N18" s="200">
        <v>3.7999999999999999E-2</v>
      </c>
      <c r="O18" s="201" t="s">
        <v>159</v>
      </c>
      <c r="P18" s="202">
        <f>VLOOKUP(CONCATENATE(I$11,"-",M18),$C$2:$G$49,3,FALSE)</f>
        <v>3.7999999999999999E-2</v>
      </c>
      <c r="Q18" s="202">
        <f>VLOOKUP(CONCATENATE(I$11,"-",M18),$C$2:$G$49,4,FALSE)</f>
        <v>4.0099999999999997E-2</v>
      </c>
      <c r="R18" s="202">
        <f>VLOOKUP(CONCATENATE(I$11,"-",M18),$C$2:$G$49,5,FALSE)</f>
        <v>4.6699999999999998E-2</v>
      </c>
      <c r="S18" s="191"/>
    </row>
    <row r="19" spans="1:19" ht="15" x14ac:dyDescent="0.2">
      <c r="A19" s="191" t="str">
        <f>A18</f>
        <v>Construção de Redes de Abastecimento de Água, Coleta de Esgoto</v>
      </c>
      <c r="B19" s="194" t="s">
        <v>143</v>
      </c>
      <c r="C19" s="191" t="str">
        <f t="shared" si="0"/>
        <v>Construção de Redes de Abastecimento de Água, Coleta de Esgoto-L</v>
      </c>
      <c r="D19" s="191"/>
      <c r="E19" s="195">
        <v>6.7400000000000002E-2</v>
      </c>
      <c r="F19" s="195">
        <v>8.0399999999999985E-2</v>
      </c>
      <c r="G19" s="195">
        <v>9.4E-2</v>
      </c>
      <c r="H19" s="191"/>
      <c r="I19" s="567" t="str">
        <f>IF($I$11=$A$59,"Administração Central da empresa ou consultoria - overhead","Seguro e Garantia")</f>
        <v>Seguro e Garantia</v>
      </c>
      <c r="J19" s="567"/>
      <c r="K19" s="567"/>
      <c r="L19" s="567"/>
      <c r="M19" s="199" t="str">
        <f>IF($I$11=$A$59,"K2","SG")</f>
        <v>SG</v>
      </c>
      <c r="N19" s="200">
        <v>3.2000000000000002E-3</v>
      </c>
      <c r="O19" s="201" t="s">
        <v>159</v>
      </c>
      <c r="P19" s="202">
        <f>VLOOKUP(CONCATENATE(I$11,"-",M19),$C$2:$G$49,3,FALSE)</f>
        <v>3.2000000000000002E-3</v>
      </c>
      <c r="Q19" s="202">
        <f>VLOOKUP(CONCATENATE(I$11,"-",M19),$C$2:$G$49,4,FALSE)</f>
        <v>4.0000000000000001E-3</v>
      </c>
      <c r="R19" s="202">
        <f>VLOOKUP(CONCATENATE(I$11,"-",M19),$C$2:$G$49,5,FALSE)</f>
        <v>7.4000000000000003E-3</v>
      </c>
      <c r="S19" s="191"/>
    </row>
    <row r="20" spans="1:19" ht="15" x14ac:dyDescent="0.2">
      <c r="A20" s="191" t="str">
        <f>A19</f>
        <v>Construção de Redes de Abastecimento de Água, Coleta de Esgoto</v>
      </c>
      <c r="B20" s="198" t="s">
        <v>144</v>
      </c>
      <c r="C20" s="191" t="str">
        <f t="shared" si="0"/>
        <v>Construção de Redes de Abastecimento de Água, Coleta de Esgoto-BDI PAD</v>
      </c>
      <c r="D20" s="191"/>
      <c r="E20" s="195">
        <v>0.20760000000000001</v>
      </c>
      <c r="F20" s="195">
        <v>0.24179999999999999</v>
      </c>
      <c r="G20" s="195">
        <v>0.26440000000000002</v>
      </c>
      <c r="H20" s="191"/>
      <c r="I20" s="567" t="str">
        <f>IF($I$11=$A$59,"","Risco")</f>
        <v>Risco</v>
      </c>
      <c r="J20" s="567"/>
      <c r="K20" s="567"/>
      <c r="L20" s="567"/>
      <c r="M20" s="199" t="str">
        <f>IF($I$11=$A$59,"","R")</f>
        <v>R</v>
      </c>
      <c r="N20" s="200">
        <v>5.0000000000000001E-3</v>
      </c>
      <c r="O20" s="201" t="s">
        <v>159</v>
      </c>
      <c r="P20" s="202">
        <f>VLOOKUP(CONCATENATE(I$11,"-",M20),$C$2:$G$49,3,FALSE)</f>
        <v>5.0000000000000001E-3</v>
      </c>
      <c r="Q20" s="202">
        <f>VLOOKUP(CONCATENATE(I$11,"-",M20),$C$2:$G$49,4,FALSE)</f>
        <v>5.6000000000000008E-3</v>
      </c>
      <c r="R20" s="202">
        <f>VLOOKUP(CONCATENATE(I$11,"-",M20),$C$2:$G$49,5,FALSE)</f>
        <v>9.7000000000000003E-3</v>
      </c>
      <c r="S20" s="191"/>
    </row>
    <row r="21" spans="1:19" ht="15" x14ac:dyDescent="0.2">
      <c r="A21" s="191" t="s">
        <v>160</v>
      </c>
      <c r="B21" s="194" t="s">
        <v>137</v>
      </c>
      <c r="C21" s="191" t="str">
        <f t="shared" si="0"/>
        <v>Construção e Manutenção de Estações e Redes de Distribuição de Energia Elétrica-AC</v>
      </c>
      <c r="D21" s="191"/>
      <c r="E21" s="195">
        <v>5.2900000000000003E-2</v>
      </c>
      <c r="F21" s="195">
        <v>5.9200000000000003E-2</v>
      </c>
      <c r="G21" s="195">
        <v>7.9299999999999995E-2</v>
      </c>
      <c r="H21" s="191"/>
      <c r="I21" s="567" t="str">
        <f>IF($I$11=$A$59,"","Despesas Financeiras")</f>
        <v>Despesas Financeiras</v>
      </c>
      <c r="J21" s="567"/>
      <c r="K21" s="567"/>
      <c r="L21" s="567"/>
      <c r="M21" s="199" t="str">
        <f>IF($I$11=$A$59,"","DF")</f>
        <v>DF</v>
      </c>
      <c r="N21" s="200">
        <v>1.0200000000000001E-2</v>
      </c>
      <c r="O21" s="201" t="s">
        <v>159</v>
      </c>
      <c r="P21" s="202">
        <f>VLOOKUP(CONCATENATE(I$11,"-",M21),$C$2:$G$49,3,FALSE)</f>
        <v>1.0200000000000001E-2</v>
      </c>
      <c r="Q21" s="202">
        <f>VLOOKUP(CONCATENATE(I$11,"-",M21),$C$2:$G$49,4,FALSE)</f>
        <v>1.11E-2</v>
      </c>
      <c r="R21" s="202">
        <f>VLOOKUP(CONCATENATE(I$11,"-",M21),$C$2:$G$49,5,FALSE)</f>
        <v>1.21E-2</v>
      </c>
      <c r="S21" s="191"/>
    </row>
    <row r="22" spans="1:19" ht="15" x14ac:dyDescent="0.2">
      <c r="A22" s="191" t="str">
        <f>A21</f>
        <v>Construção e Manutenção de Estações e Redes de Distribuição de Energia Elétrica</v>
      </c>
      <c r="B22" s="194" t="s">
        <v>138</v>
      </c>
      <c r="C22" s="191" t="str">
        <f t="shared" si="0"/>
        <v>Construção e Manutenção de Estações e Redes de Distribuição de Energia Elétrica-SG</v>
      </c>
      <c r="D22" s="191"/>
      <c r="E22" s="195">
        <v>2.5000000000000001E-3</v>
      </c>
      <c r="F22" s="195">
        <v>5.1000000000000004E-3</v>
      </c>
      <c r="G22" s="195">
        <v>5.6000000000000008E-3</v>
      </c>
      <c r="H22" s="191"/>
      <c r="I22" s="567" t="str">
        <f>IF($I$11=$A$59,"Margem bruta da empresa de consultoria","Lucro")</f>
        <v>Lucro</v>
      </c>
      <c r="J22" s="567"/>
      <c r="K22" s="567"/>
      <c r="L22" s="567"/>
      <c r="M22" s="199" t="str">
        <f>IF($I$11=$A$59,"K3","L")</f>
        <v>L</v>
      </c>
      <c r="N22" s="200">
        <v>7.3800000000000004E-2</v>
      </c>
      <c r="O22" s="201" t="s">
        <v>159</v>
      </c>
      <c r="P22" s="202">
        <f>VLOOKUP(CONCATENATE(I$11,"-",M22),$C$2:$G$49,3,FALSE)</f>
        <v>6.6400000000000001E-2</v>
      </c>
      <c r="Q22" s="202">
        <f>VLOOKUP(CONCATENATE(I$11,"-",M22),$C$2:$G$49,4,FALSE)</f>
        <v>7.2999999999999995E-2</v>
      </c>
      <c r="R22" s="202">
        <f>VLOOKUP(CONCATENATE(I$11,"-",M22),$C$2:$G$49,5,FALSE)</f>
        <v>8.6899999999999991E-2</v>
      </c>
      <c r="S22" s="191"/>
    </row>
    <row r="23" spans="1:19" ht="15" x14ac:dyDescent="0.2">
      <c r="A23" s="191" t="str">
        <f>A22</f>
        <v>Construção e Manutenção de Estações e Redes de Distribuição de Energia Elétrica</v>
      </c>
      <c r="B23" s="194" t="s">
        <v>139</v>
      </c>
      <c r="C23" s="191" t="str">
        <f t="shared" si="0"/>
        <v>Construção e Manutenção de Estações e Redes de Distribuição de Energia Elétrica-R</v>
      </c>
      <c r="D23" s="191"/>
      <c r="E23" s="195">
        <v>0.01</v>
      </c>
      <c r="F23" s="195">
        <v>1.4800000000000001E-2</v>
      </c>
      <c r="G23" s="195">
        <v>1.9699999999999999E-2</v>
      </c>
      <c r="H23" s="191"/>
      <c r="I23" s="568" t="s">
        <v>161</v>
      </c>
      <c r="J23" s="568"/>
      <c r="K23" s="568"/>
      <c r="L23" s="568"/>
      <c r="M23" s="199" t="s">
        <v>162</v>
      </c>
      <c r="N23" s="200">
        <v>3.6499999999999998E-2</v>
      </c>
      <c r="O23" s="201" t="s">
        <v>159</v>
      </c>
      <c r="P23" s="202">
        <v>3.6499999999999998E-2</v>
      </c>
      <c r="Q23" s="202">
        <v>3.6499999999999998E-2</v>
      </c>
      <c r="R23" s="202">
        <v>3.6499999999999998E-2</v>
      </c>
      <c r="S23" s="191"/>
    </row>
    <row r="24" spans="1:19" ht="31.5" customHeight="1" x14ac:dyDescent="0.2">
      <c r="A24" s="191" t="str">
        <f>A23</f>
        <v>Construção e Manutenção de Estações e Redes de Distribuição de Energia Elétrica</v>
      </c>
      <c r="B24" s="194" t="s">
        <v>142</v>
      </c>
      <c r="C24" s="191" t="str">
        <f t="shared" si="0"/>
        <v>Construção e Manutenção de Estações e Redes de Distribuição de Energia Elétrica-DF</v>
      </c>
      <c r="D24" s="191"/>
      <c r="E24" s="195">
        <v>1.01E-2</v>
      </c>
      <c r="F24" s="195">
        <v>1.0700000000000001E-2</v>
      </c>
      <c r="G24" s="195">
        <v>1.11E-2</v>
      </c>
      <c r="H24" s="191"/>
      <c r="I24" s="567" t="s">
        <v>163</v>
      </c>
      <c r="J24" s="567"/>
      <c r="K24" s="567"/>
      <c r="L24" s="567"/>
      <c r="M24" s="199" t="s">
        <v>164</v>
      </c>
      <c r="N24" s="202">
        <f>IF($I$11&lt;&gt;$A$58,Q14*Q13,0)</f>
        <v>0.02</v>
      </c>
      <c r="O24" s="201" t="s">
        <v>159</v>
      </c>
      <c r="P24" s="202">
        <v>0</v>
      </c>
      <c r="Q24" s="202">
        <v>2.5000000000000001E-2</v>
      </c>
      <c r="R24" s="202">
        <v>0.05</v>
      </c>
      <c r="S24" s="191"/>
    </row>
    <row r="25" spans="1:19" ht="26.25" customHeight="1" x14ac:dyDescent="0.2">
      <c r="A25" s="191" t="str">
        <f>A24</f>
        <v>Construção e Manutenção de Estações e Redes de Distribuição de Energia Elétrica</v>
      </c>
      <c r="B25" s="194" t="s">
        <v>143</v>
      </c>
      <c r="C25" s="191" t="str">
        <f t="shared" si="0"/>
        <v>Construção e Manutenção de Estações e Redes de Distribuição de Energia Elétrica-L</v>
      </c>
      <c r="D25" s="191"/>
      <c r="E25" s="195">
        <v>0.08</v>
      </c>
      <c r="F25" s="195">
        <v>8.3100000000000007E-2</v>
      </c>
      <c r="G25" s="195">
        <v>9.5100000000000004E-2</v>
      </c>
      <c r="H25" s="191"/>
      <c r="I25" s="567" t="s">
        <v>165</v>
      </c>
      <c r="J25" s="567"/>
      <c r="K25" s="567"/>
      <c r="L25" s="567"/>
      <c r="M25" s="199" t="s">
        <v>166</v>
      </c>
      <c r="N25" s="202">
        <f>IF(AND($I$11&lt;&gt;$A$58,Q11="Sim"),4.5%,0%)</f>
        <v>4.4999999999999998E-2</v>
      </c>
      <c r="O25" s="201" t="str">
        <f>IF(AND(N25&gt;=P25, N25&lt;=R25), "OK", "Não OK")</f>
        <v>OK</v>
      </c>
      <c r="P25" s="203">
        <v>0</v>
      </c>
      <c r="Q25" s="203">
        <v>4.4999999999999998E-2</v>
      </c>
      <c r="R25" s="203">
        <v>4.4999999999999998E-2</v>
      </c>
      <c r="S25" s="191"/>
    </row>
    <row r="26" spans="1:19" ht="28.5" x14ac:dyDescent="0.2">
      <c r="A26" s="191" t="str">
        <f>A25</f>
        <v>Construção e Manutenção de Estações e Redes de Distribuição de Energia Elétrica</v>
      </c>
      <c r="B26" s="198" t="s">
        <v>144</v>
      </c>
      <c r="C26" s="191" t="str">
        <f t="shared" si="0"/>
        <v>Construção e Manutenção de Estações e Redes de Distribuição de Energia Elétrica-BDI PAD</v>
      </c>
      <c r="D26" s="191"/>
      <c r="E26" s="195">
        <v>0.24</v>
      </c>
      <c r="F26" s="195">
        <v>0.25840000000000002</v>
      </c>
      <c r="G26" s="195">
        <v>0.27860000000000001</v>
      </c>
      <c r="H26" s="191"/>
      <c r="I26" s="567" t="s">
        <v>167</v>
      </c>
      <c r="J26" s="567"/>
      <c r="K26" s="567"/>
      <c r="L26" s="567"/>
      <c r="M26" s="204" t="s">
        <v>144</v>
      </c>
      <c r="N26" s="202">
        <f>IF($I$11=$A$58,0,ROUND((((1+N18+N19+N20)*(1+N21)*(1+N22)/(1-(N23+N24)))-1),4))</f>
        <v>0.20280000000000001</v>
      </c>
      <c r="O26" s="205" t="str">
        <f>IF(OR($I$11=$A$59,$I$11=$A$58,AND(N26&gt;=P26, N26&lt;=R26)), "OK", "FORA DO INTERVALO")</f>
        <v>OK</v>
      </c>
      <c r="P26" s="202">
        <f>IF($I$11=$A$58,0,VLOOKUP(CONCATENATE($I$11,"-",$M26),$C$2:$G$49,3,FALSE))</f>
        <v>0.19600000000000001</v>
      </c>
      <c r="Q26" s="202">
        <f>IF($I$11=$A$58,0,VLOOKUP(CONCATENATE($I$11,"-",$M26),$C$2:$G$49,4,FALSE))</f>
        <v>0.2097</v>
      </c>
      <c r="R26" s="202">
        <f>IF($I$11=$A$58,0,VLOOKUP(CONCATENATE($I$11,"-",$M26),$C$2:$G$49,5,FALSE))</f>
        <v>0.24230000000000002</v>
      </c>
      <c r="S26" s="191"/>
    </row>
    <row r="27" spans="1:19" ht="30" x14ac:dyDescent="0.2">
      <c r="A27" s="191" t="s">
        <v>168</v>
      </c>
      <c r="B27" s="194" t="s">
        <v>137</v>
      </c>
      <c r="C27" s="191" t="str">
        <f t="shared" si="0"/>
        <v>Obras Portuárias, Marítimas e Fluviais-AC</v>
      </c>
      <c r="D27" s="191"/>
      <c r="E27" s="195">
        <v>0.04</v>
      </c>
      <c r="F27" s="195">
        <v>5.5199999999999999E-2</v>
      </c>
      <c r="G27" s="195">
        <v>7.85E-2</v>
      </c>
      <c r="H27" s="191"/>
      <c r="I27" s="569" t="s">
        <v>169</v>
      </c>
      <c r="J27" s="569"/>
      <c r="K27" s="569"/>
      <c r="L27" s="569"/>
      <c r="M27" s="206" t="s">
        <v>170</v>
      </c>
      <c r="N27" s="207">
        <f>IF($I$11=$A$58,0,ROUND((((1+N18+N19+N20)*(1+N21)*(1+N22)/(1-(N23+N24+N25)))-1),4))</f>
        <v>0.2631</v>
      </c>
      <c r="O27" s="208" t="str">
        <f>IF(Q11&lt;&gt;"Sim","",O26)</f>
        <v>OK</v>
      </c>
      <c r="P27" s="570"/>
      <c r="Q27" s="570"/>
      <c r="R27" s="570"/>
      <c r="S27" s="191"/>
    </row>
    <row r="28" spans="1:19" x14ac:dyDescent="0.2">
      <c r="A28" s="191" t="str">
        <f>A27</f>
        <v>Obras Portuárias, Marítimas e Fluviais</v>
      </c>
      <c r="B28" s="194" t="s">
        <v>138</v>
      </c>
      <c r="C28" s="191" t="str">
        <f t="shared" si="0"/>
        <v>Obras Portuárias, Marítimas e Fluviais-SG</v>
      </c>
      <c r="D28" s="191"/>
      <c r="E28" s="195">
        <v>8.1000000000000013E-3</v>
      </c>
      <c r="F28" s="195">
        <v>1.2199999999999999E-2</v>
      </c>
      <c r="G28" s="195">
        <v>1.9900000000000001E-2</v>
      </c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</row>
    <row r="29" spans="1:19" ht="23.25" x14ac:dyDescent="0.2">
      <c r="A29" s="191" t="str">
        <f>A28</f>
        <v>Obras Portuárias, Marítimas e Fluviais</v>
      </c>
      <c r="B29" s="194" t="s">
        <v>139</v>
      </c>
      <c r="C29" s="191" t="str">
        <f t="shared" si="0"/>
        <v>Obras Portuárias, Marítimas e Fluviais-R</v>
      </c>
      <c r="D29" s="191"/>
      <c r="E29" s="195">
        <v>1.46E-2</v>
      </c>
      <c r="F29" s="195">
        <v>2.3199999999999998E-2</v>
      </c>
      <c r="G29" s="195">
        <v>3.1600000000000003E-2</v>
      </c>
      <c r="H29" s="191"/>
      <c r="I29" s="209" t="str">
        <f>IF(V29,"X","")</f>
        <v/>
      </c>
      <c r="J29" s="566" t="s">
        <v>171</v>
      </c>
      <c r="K29" s="566"/>
      <c r="L29" s="566"/>
      <c r="M29" s="566"/>
      <c r="N29" s="566"/>
      <c r="O29" s="566"/>
      <c r="P29" s="566"/>
      <c r="Q29" s="566"/>
      <c r="R29" s="566"/>
      <c r="S29" s="191"/>
    </row>
    <row r="30" spans="1:19" x14ac:dyDescent="0.2">
      <c r="A30" s="191"/>
      <c r="B30" s="194"/>
      <c r="C30" s="191"/>
      <c r="D30" s="191"/>
      <c r="E30" s="195"/>
      <c r="F30" s="195"/>
      <c r="G30" s="195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</row>
    <row r="31" spans="1:19" x14ac:dyDescent="0.2">
      <c r="A31" s="191"/>
      <c r="B31" s="194"/>
      <c r="C31" s="191"/>
      <c r="D31" s="191"/>
      <c r="E31" s="195"/>
      <c r="F31" s="195"/>
      <c r="G31" s="195"/>
      <c r="H31" s="191"/>
      <c r="I31" s="553" t="s">
        <v>172</v>
      </c>
      <c r="J31" s="553"/>
      <c r="K31" s="553"/>
      <c r="L31" s="553"/>
      <c r="M31" s="553"/>
      <c r="N31" s="553"/>
      <c r="O31" s="553"/>
      <c r="P31" s="553"/>
      <c r="Q31" s="553"/>
      <c r="R31" s="553"/>
      <c r="S31" s="191"/>
    </row>
    <row r="32" spans="1:19" ht="15.75" x14ac:dyDescent="0.25">
      <c r="A32" s="191" t="str">
        <f>A29</f>
        <v>Obras Portuárias, Marítimas e Fluviais</v>
      </c>
      <c r="B32" s="194" t="s">
        <v>142</v>
      </c>
      <c r="C32" s="191" t="str">
        <f t="shared" si="0"/>
        <v>Obras Portuárias, Marítimas e Fluviais-DF</v>
      </c>
      <c r="D32" s="191"/>
      <c r="E32" s="195">
        <v>9.3999999999999986E-3</v>
      </c>
      <c r="F32" s="195">
        <v>1.0200000000000001E-2</v>
      </c>
      <c r="G32" s="195">
        <v>1.3300000000000001E-2</v>
      </c>
      <c r="H32" s="191"/>
      <c r="I32" s="210"/>
      <c r="J32" s="210"/>
      <c r="K32" s="210"/>
      <c r="L32" s="554" t="str">
        <f>IF(Q11="Sim","BDI.DES =","BDI.PAD =")</f>
        <v>BDI.DES =</v>
      </c>
      <c r="M32" s="555" t="str">
        <f>IF($I$11=$A$59,"(1+K1+K2)*(1+K3)","(1+AC + S + R + G)*(1 + DF)*(1+L)")</f>
        <v>(1+AC + S + R + G)*(1 + DF)*(1+L)</v>
      </c>
      <c r="N32" s="555"/>
      <c r="O32" s="555"/>
      <c r="P32" s="556" t="s">
        <v>173</v>
      </c>
      <c r="Q32" s="210"/>
      <c r="R32" s="210"/>
      <c r="S32" s="191"/>
    </row>
    <row r="33" spans="1:19" ht="15.75" x14ac:dyDescent="0.2">
      <c r="A33" s="191" t="str">
        <f>A32</f>
        <v>Obras Portuárias, Marítimas e Fluviais</v>
      </c>
      <c r="B33" s="194" t="s">
        <v>143</v>
      </c>
      <c r="C33" s="191" t="str">
        <f t="shared" si="0"/>
        <v>Obras Portuárias, Marítimas e Fluviais-L</v>
      </c>
      <c r="D33" s="191"/>
      <c r="E33" s="195">
        <v>7.1399999999999991E-2</v>
      </c>
      <c r="F33" s="195">
        <v>8.4000000000000005E-2</v>
      </c>
      <c r="G33" s="195">
        <v>0.1043</v>
      </c>
      <c r="H33" s="191"/>
      <c r="I33" s="210"/>
      <c r="J33" s="210"/>
      <c r="K33" s="210"/>
      <c r="L33" s="554"/>
      <c r="M33" s="558" t="str">
        <f>IF(Q11="Sim","(1-CP-ISS-CRPB)","(1-CP-ISS)")</f>
        <v>(1-CP-ISS-CRPB)</v>
      </c>
      <c r="N33" s="558"/>
      <c r="O33" s="558"/>
      <c r="P33" s="557"/>
      <c r="Q33" s="210"/>
      <c r="R33" s="210"/>
      <c r="S33" s="191"/>
    </row>
    <row r="34" spans="1:19" x14ac:dyDescent="0.2">
      <c r="A34" s="191" t="str">
        <f>A33</f>
        <v>Obras Portuárias, Marítimas e Fluviais</v>
      </c>
      <c r="B34" s="198" t="s">
        <v>144</v>
      </c>
      <c r="C34" s="191" t="str">
        <f t="shared" si="0"/>
        <v>Obras Portuárias, Marítimas e Fluviais-BDI PAD</v>
      </c>
      <c r="D34" s="191"/>
      <c r="E34" s="195">
        <v>0.22800000000000001</v>
      </c>
      <c r="F34" s="195">
        <v>0.27479999999999999</v>
      </c>
      <c r="G34" s="195">
        <v>0.3095</v>
      </c>
      <c r="H34" s="19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191"/>
    </row>
    <row r="35" spans="1:19" ht="49.5" customHeight="1" x14ac:dyDescent="0.2">
      <c r="A35" s="191"/>
      <c r="B35" s="198"/>
      <c r="C35" s="191"/>
      <c r="D35" s="191"/>
      <c r="E35" s="195"/>
      <c r="F35" s="195"/>
      <c r="G35" s="195"/>
      <c r="H35" s="191"/>
      <c r="I35" s="559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de Praças Urbanas, Rodovias, Ferrovias e recapeamento e pavimentação de vias urbanas, é de 100%, com a respectiva alíquota de 2%.</v>
      </c>
      <c r="J35" s="559"/>
      <c r="K35" s="559"/>
      <c r="L35" s="559"/>
      <c r="M35" s="559"/>
      <c r="N35" s="559"/>
      <c r="O35" s="559"/>
      <c r="P35" s="559"/>
      <c r="Q35" s="559"/>
      <c r="R35" s="559"/>
      <c r="S35" s="191"/>
    </row>
    <row r="36" spans="1:19" x14ac:dyDescent="0.2">
      <c r="A36" s="191"/>
      <c r="B36" s="198"/>
      <c r="C36" s="191"/>
      <c r="D36" s="191"/>
      <c r="E36" s="195"/>
      <c r="F36" s="195"/>
      <c r="G36" s="195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</row>
    <row r="37" spans="1:19" ht="47.25" customHeight="1" x14ac:dyDescent="0.2">
      <c r="A37" s="191"/>
      <c r="B37" s="198"/>
      <c r="C37" s="191"/>
      <c r="D37" s="191"/>
      <c r="E37" s="195"/>
      <c r="F37" s="195"/>
      <c r="G37" s="195"/>
      <c r="H37" s="191"/>
      <c r="I37" s="559" t="str">
        <f>CONCATENATE("Declaro para os devidos fins que o regime de Contribuição Previdenciária sobre a Receita Bruta adotado para elaboração do orçamento foi ",IF(Q11="Sim","COM","SEM"),"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J37" s="559"/>
      <c r="K37" s="559"/>
      <c r="L37" s="559"/>
      <c r="M37" s="559"/>
      <c r="N37" s="559"/>
      <c r="O37" s="559"/>
      <c r="P37" s="559"/>
      <c r="Q37" s="559"/>
      <c r="R37" s="559"/>
      <c r="S37" s="191"/>
    </row>
    <row r="38" spans="1:19" x14ac:dyDescent="0.2">
      <c r="A38" s="191" t="s">
        <v>174</v>
      </c>
      <c r="B38" s="194" t="s">
        <v>137</v>
      </c>
      <c r="C38" s="191" t="str">
        <f t="shared" si="0"/>
        <v>Fornecimento de Materiais e Equipamentos (aquisição indireta - em conjunto com licitação de obras)-AC</v>
      </c>
      <c r="D38" s="191"/>
      <c r="E38" s="195">
        <v>1.4999999999999999E-2</v>
      </c>
      <c r="F38" s="195">
        <v>3.4500000000000003E-2</v>
      </c>
      <c r="G38" s="195">
        <v>4.4900000000000002E-2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</row>
    <row r="39" spans="1:19" x14ac:dyDescent="0.2">
      <c r="A39" s="191" t="str">
        <f>A38</f>
        <v>Fornecimento de Materiais e Equipamentos (aquisição indireta - em conjunto com licitação de obras)</v>
      </c>
      <c r="B39" s="194" t="s">
        <v>138</v>
      </c>
      <c r="C39" s="191" t="str">
        <f t="shared" si="0"/>
        <v>Fornecimento de Materiais e Equipamentos (aquisição indireta - em conjunto com licitação de obras)-SG</v>
      </c>
      <c r="D39" s="191"/>
      <c r="E39" s="195">
        <v>3.0000000000000001E-3</v>
      </c>
      <c r="F39" s="195">
        <v>4.7999999999999996E-3</v>
      </c>
      <c r="G39" s="195">
        <v>8.199999999999999E-3</v>
      </c>
      <c r="H39" s="191"/>
      <c r="I39" s="191" t="s">
        <v>175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</row>
    <row r="40" spans="1:19" ht="52.5" customHeight="1" x14ac:dyDescent="0.2">
      <c r="A40" s="191" t="str">
        <f>A39</f>
        <v>Fornecimento de Materiais e Equipamentos (aquisição indireta - em conjunto com licitação de obras)</v>
      </c>
      <c r="B40" s="194" t="s">
        <v>139</v>
      </c>
      <c r="C40" s="191" t="str">
        <f t="shared" si="0"/>
        <v>Fornecimento de Materiais e Equipamentos (aquisição indireta - em conjunto com licitação de obras)-R</v>
      </c>
      <c r="D40" s="191"/>
      <c r="E40" s="195">
        <v>5.6000000000000008E-3</v>
      </c>
      <c r="F40" s="195">
        <v>8.5000000000000006E-3</v>
      </c>
      <c r="G40" s="195">
        <v>8.8999999999999999E-3</v>
      </c>
      <c r="H40" s="191"/>
      <c r="I40" s="560"/>
      <c r="J40" s="561"/>
      <c r="K40" s="561"/>
      <c r="L40" s="561"/>
      <c r="M40" s="561"/>
      <c r="N40" s="561"/>
      <c r="O40" s="561"/>
      <c r="P40" s="561"/>
      <c r="Q40" s="561"/>
      <c r="R40" s="562"/>
      <c r="S40" s="191"/>
    </row>
    <row r="41" spans="1:19" x14ac:dyDescent="0.2">
      <c r="A41" s="191" t="str">
        <f>A40</f>
        <v>Fornecimento de Materiais e Equipamentos (aquisição indireta - em conjunto com licitação de obras)</v>
      </c>
      <c r="B41" s="194" t="s">
        <v>142</v>
      </c>
      <c r="C41" s="191" t="str">
        <f t="shared" si="0"/>
        <v>Fornecimento de Materiais e Equipamentos (aquisição indireta - em conjunto com licitação de obras)-DF</v>
      </c>
      <c r="D41" s="191"/>
      <c r="E41" s="195">
        <v>8.5000000000000006E-3</v>
      </c>
      <c r="F41" s="195">
        <v>8.5000000000000006E-3</v>
      </c>
      <c r="G41" s="195">
        <v>1.11E-2</v>
      </c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</row>
    <row r="42" spans="1:19" x14ac:dyDescent="0.2">
      <c r="A42" s="191" t="str">
        <f>A41</f>
        <v>Fornecimento de Materiais e Equipamentos (aquisição indireta - em conjunto com licitação de obras)</v>
      </c>
      <c r="B42" s="194" t="s">
        <v>143</v>
      </c>
      <c r="C42" s="191" t="str">
        <f t="shared" si="0"/>
        <v>Fornecimento de Materiais e Equipamentos (aquisição indireta - em conjunto com licitação de obras)-L</v>
      </c>
      <c r="D42" s="191"/>
      <c r="E42" s="195">
        <v>3.5000000000000003E-2</v>
      </c>
      <c r="F42" s="195">
        <v>5.1100000000000007E-2</v>
      </c>
      <c r="G42" s="195">
        <v>6.2199999999999998E-2</v>
      </c>
      <c r="H42" s="191"/>
      <c r="I42" s="563" t="str">
        <f>[1]PO!K45</f>
        <v>PAPAGAIOS / MG</v>
      </c>
      <c r="J42" s="563"/>
      <c r="K42" s="563"/>
      <c r="L42" s="563"/>
      <c r="M42" s="191"/>
      <c r="N42" s="191"/>
      <c r="O42" s="564">
        <f ca="1">TODAY()</f>
        <v>43999</v>
      </c>
      <c r="P42" s="564"/>
      <c r="Q42" s="564"/>
      <c r="R42" s="564"/>
      <c r="S42" s="191"/>
    </row>
    <row r="43" spans="1:19" x14ac:dyDescent="0.2">
      <c r="A43" s="191" t="str">
        <f>A42</f>
        <v>Fornecimento de Materiais e Equipamentos (aquisição indireta - em conjunto com licitação de obras)</v>
      </c>
      <c r="B43" s="198" t="s">
        <v>144</v>
      </c>
      <c r="C43" s="191" t="str">
        <f t="shared" si="0"/>
        <v>Fornecimento de Materiais e Equipamentos (aquisição indireta - em conjunto com licitação de obras)-BDI PAD</v>
      </c>
      <c r="D43" s="191"/>
      <c r="E43" s="195">
        <v>0.111</v>
      </c>
      <c r="F43" s="195">
        <v>0.14019999999999999</v>
      </c>
      <c r="G43" s="195">
        <v>0.16800000000000001</v>
      </c>
      <c r="H43" s="191"/>
      <c r="I43" s="565" t="s">
        <v>176</v>
      </c>
      <c r="J43" s="565"/>
      <c r="K43" s="565"/>
      <c r="L43" s="565"/>
      <c r="M43" s="191"/>
      <c r="N43" s="212"/>
      <c r="O43" s="213" t="s">
        <v>177</v>
      </c>
      <c r="P43" s="214"/>
      <c r="Q43" s="214"/>
      <c r="R43" s="214"/>
      <c r="S43" s="191"/>
    </row>
    <row r="44" spans="1:19" x14ac:dyDescent="0.2">
      <c r="A44" s="191" t="s">
        <v>178</v>
      </c>
      <c r="B44" s="194" t="s">
        <v>179</v>
      </c>
      <c r="C44" s="191" t="str">
        <f t="shared" si="0"/>
        <v>Estudos e Projetos, Planos e Gerenciamento e outros correlatos-K1</v>
      </c>
      <c r="D44" s="191"/>
      <c r="E44" s="195" t="s">
        <v>159</v>
      </c>
      <c r="F44" s="195" t="s">
        <v>159</v>
      </c>
      <c r="G44" s="195" t="s">
        <v>159</v>
      </c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</row>
    <row r="45" spans="1:19" ht="15" x14ac:dyDescent="0.2">
      <c r="A45" s="191" t="str">
        <f>A44</f>
        <v>Estudos e Projetos, Planos e Gerenciamento e outros correlatos</v>
      </c>
      <c r="B45" s="194" t="s">
        <v>180</v>
      </c>
      <c r="C45" s="191" t="str">
        <f t="shared" si="0"/>
        <v>Estudos e Projetos, Planos e Gerenciamento e outros correlatos-K2</v>
      </c>
      <c r="D45" s="191"/>
      <c r="E45" s="195" t="s">
        <v>159</v>
      </c>
      <c r="F45" s="195">
        <v>0.2</v>
      </c>
      <c r="G45" s="195" t="s">
        <v>159</v>
      </c>
      <c r="H45" s="191"/>
      <c r="I45" s="552"/>
      <c r="J45" s="552"/>
      <c r="K45" s="552"/>
      <c r="L45" s="552"/>
      <c r="M45" s="215"/>
      <c r="N45" s="215"/>
      <c r="O45" s="552"/>
      <c r="P45" s="552"/>
      <c r="Q45" s="552"/>
      <c r="R45" s="552"/>
      <c r="S45" s="191"/>
    </row>
    <row r="46" spans="1:19" x14ac:dyDescent="0.2">
      <c r="A46" s="191" t="str">
        <f>A45</f>
        <v>Estudos e Projetos, Planos e Gerenciamento e outros correlatos</v>
      </c>
      <c r="B46" s="194" t="s">
        <v>181</v>
      </c>
      <c r="C46" s="191" t="str">
        <f t="shared" si="0"/>
        <v>Estudos e Projetos, Planos e Gerenciamento e outros correlatos-</v>
      </c>
      <c r="D46" s="191"/>
      <c r="E46" s="195" t="s">
        <v>159</v>
      </c>
      <c r="F46" s="195" t="s">
        <v>159</v>
      </c>
      <c r="G46" s="195" t="s">
        <v>159</v>
      </c>
      <c r="H46" s="191"/>
      <c r="I46" s="550" t="s">
        <v>182</v>
      </c>
      <c r="J46" s="550"/>
      <c r="K46" s="550"/>
      <c r="L46" s="550"/>
      <c r="M46" s="216"/>
      <c r="N46" s="216"/>
      <c r="O46" s="550" t="s">
        <v>183</v>
      </c>
      <c r="P46" s="550"/>
      <c r="Q46" s="550"/>
      <c r="R46" s="550"/>
      <c r="S46" s="191"/>
    </row>
    <row r="47" spans="1:19" ht="14.25" x14ac:dyDescent="0.2">
      <c r="A47" s="191" t="str">
        <f>A46</f>
        <v>Estudos e Projetos, Planos e Gerenciamento e outros correlatos</v>
      </c>
      <c r="B47" s="194" t="s">
        <v>181</v>
      </c>
      <c r="C47" s="191" t="str">
        <f t="shared" si="0"/>
        <v>Estudos e Projetos, Planos e Gerenciamento e outros correlatos-</v>
      </c>
      <c r="D47" s="191"/>
      <c r="E47" s="195" t="s">
        <v>159</v>
      </c>
      <c r="F47" s="195" t="s">
        <v>159</v>
      </c>
      <c r="G47" s="195" t="s">
        <v>159</v>
      </c>
      <c r="H47" s="191"/>
      <c r="I47" s="217" t="s">
        <v>184</v>
      </c>
      <c r="J47" s="549" t="str">
        <f>[1]DADOS!B54</f>
        <v>IRLEY GERALDO ALVES VIEIRA</v>
      </c>
      <c r="K47" s="549"/>
      <c r="L47" s="549"/>
      <c r="M47" s="218"/>
      <c r="N47" s="218"/>
      <c r="O47" s="217" t="s">
        <v>184</v>
      </c>
      <c r="P47" s="551" t="s">
        <v>185</v>
      </c>
      <c r="Q47" s="551"/>
      <c r="R47" s="551"/>
      <c r="S47" s="191"/>
    </row>
    <row r="48" spans="1:19" ht="14.25" x14ac:dyDescent="0.2">
      <c r="A48" s="191" t="str">
        <f>A47</f>
        <v>Estudos e Projetos, Planos e Gerenciamento e outros correlatos</v>
      </c>
      <c r="B48" s="194" t="s">
        <v>186</v>
      </c>
      <c r="C48" s="191" t="str">
        <f t="shared" si="0"/>
        <v>Estudos e Projetos, Planos e Gerenciamento e outros correlatos-K3</v>
      </c>
      <c r="D48" s="191"/>
      <c r="E48" s="195" t="s">
        <v>159</v>
      </c>
      <c r="F48" s="195">
        <v>0.12</v>
      </c>
      <c r="G48" s="195" t="s">
        <v>159</v>
      </c>
      <c r="H48" s="191"/>
      <c r="I48" s="217" t="s">
        <v>187</v>
      </c>
      <c r="J48" s="549" t="str">
        <f>[1]DADOS!B55</f>
        <v>ENGENHEIRO CIVIL</v>
      </c>
      <c r="K48" s="549"/>
      <c r="L48" s="549"/>
      <c r="M48" s="218"/>
      <c r="N48" s="218"/>
      <c r="O48" s="217" t="s">
        <v>188</v>
      </c>
      <c r="P48" s="551" t="s">
        <v>189</v>
      </c>
      <c r="Q48" s="551"/>
      <c r="R48" s="551"/>
      <c r="S48" s="191"/>
    </row>
    <row r="49" spans="1:19" ht="14.25" x14ac:dyDescent="0.2">
      <c r="A49" s="191" t="str">
        <f>A48</f>
        <v>Estudos e Projetos, Planos e Gerenciamento e outros correlatos</v>
      </c>
      <c r="B49" s="198" t="s">
        <v>144</v>
      </c>
      <c r="C49" s="191" t="str">
        <f t="shared" si="0"/>
        <v>Estudos e Projetos, Planos e Gerenciamento e outros correlatos-BDI PAD</v>
      </c>
      <c r="D49" s="191"/>
      <c r="E49" s="195" t="s">
        <v>159</v>
      </c>
      <c r="F49" s="195" t="s">
        <v>159</v>
      </c>
      <c r="G49" s="195" t="s">
        <v>159</v>
      </c>
      <c r="H49" s="191"/>
      <c r="I49" s="217" t="str">
        <f>[1]DADOS!A56</f>
        <v>CREA/CAU:</v>
      </c>
      <c r="J49" s="549" t="str">
        <f>[1]DADOS!B56</f>
        <v>175.870/D</v>
      </c>
      <c r="K49" s="549"/>
      <c r="L49" s="549"/>
      <c r="M49" s="218"/>
      <c r="N49" s="218"/>
      <c r="O49" s="218"/>
      <c r="P49" s="218"/>
      <c r="Q49" s="218"/>
      <c r="R49" s="218"/>
      <c r="S49" s="191"/>
    </row>
    <row r="50" spans="1:19" x14ac:dyDescent="0.2">
      <c r="A50" s="191"/>
      <c r="B50" s="191"/>
      <c r="C50" s="191"/>
      <c r="D50" s="191"/>
      <c r="E50" s="191"/>
      <c r="F50" s="191"/>
      <c r="G50" s="191"/>
      <c r="H50" s="191"/>
      <c r="I50" s="217" t="str">
        <f>[1]DADOS!A57</f>
        <v>ART/RRT:</v>
      </c>
      <c r="J50" s="549"/>
      <c r="K50" s="549"/>
      <c r="L50" s="549"/>
      <c r="M50" s="191"/>
      <c r="N50" s="191"/>
      <c r="O50" s="191"/>
      <c r="P50" s="191"/>
      <c r="Q50" s="191"/>
      <c r="R50" s="191"/>
      <c r="S50" s="191"/>
    </row>
    <row r="51" spans="1:19" x14ac:dyDescent="0.2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</row>
  </sheetData>
  <mergeCells count="54">
    <mergeCell ref="I8:R8"/>
    <mergeCell ref="I4:J4"/>
    <mergeCell ref="K4:R4"/>
    <mergeCell ref="I5:J5"/>
    <mergeCell ref="K5:R5"/>
    <mergeCell ref="I7:R7"/>
    <mergeCell ref="I10:P10"/>
    <mergeCell ref="Q10:R10"/>
    <mergeCell ref="I11:P11"/>
    <mergeCell ref="Q11:R11"/>
    <mergeCell ref="I13:P13"/>
    <mergeCell ref="Q13:R13"/>
    <mergeCell ref="I14:P14"/>
    <mergeCell ref="Q14:R14"/>
    <mergeCell ref="I16:L17"/>
    <mergeCell ref="M16:M17"/>
    <mergeCell ref="N16:N17"/>
    <mergeCell ref="O16:O17"/>
    <mergeCell ref="P16:P17"/>
    <mergeCell ref="Q16:Q17"/>
    <mergeCell ref="R16:R17"/>
    <mergeCell ref="J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P27:R27"/>
    <mergeCell ref="I45:L45"/>
    <mergeCell ref="O45:R45"/>
    <mergeCell ref="I31:R31"/>
    <mergeCell ref="L32:L33"/>
    <mergeCell ref="M32:O32"/>
    <mergeCell ref="P32:P33"/>
    <mergeCell ref="M33:O33"/>
    <mergeCell ref="I35:R35"/>
    <mergeCell ref="I37:R37"/>
    <mergeCell ref="I40:R40"/>
    <mergeCell ref="I42:L42"/>
    <mergeCell ref="O42:R42"/>
    <mergeCell ref="I43:L43"/>
    <mergeCell ref="J49:L49"/>
    <mergeCell ref="J50:L50"/>
    <mergeCell ref="I46:L46"/>
    <mergeCell ref="O46:R46"/>
    <mergeCell ref="J47:L47"/>
    <mergeCell ref="P47:R47"/>
    <mergeCell ref="J48:L48"/>
    <mergeCell ref="P48:R48"/>
  </mergeCells>
  <conditionalFormatting sqref="O42">
    <cfRule type="expression" dxfId="18" priority="3" stopIfTrue="1">
      <formula>$O$42=""</formula>
    </cfRule>
  </conditionalFormatting>
  <conditionalFormatting sqref="O18:O27">
    <cfRule type="expression" dxfId="17" priority="8" stopIfTrue="1">
      <formula>AND(O18&lt;&gt;"OK",O18&lt;&gt;"-",O18&lt;&gt;"")</formula>
    </cfRule>
    <cfRule type="cellIs" dxfId="16" priority="9" stopIfTrue="1" operator="equal">
      <formula>"OK"</formula>
    </cfRule>
  </conditionalFormatting>
  <conditionalFormatting sqref="I26:N26">
    <cfRule type="expression" dxfId="15" priority="7" stopIfTrue="1">
      <formula>$Q$11="Não"</formula>
    </cfRule>
  </conditionalFormatting>
  <conditionalFormatting sqref="I27:N27">
    <cfRule type="expression" dxfId="14" priority="6" stopIfTrue="1">
      <formula>$Q$11="sim"</formula>
    </cfRule>
  </conditionalFormatting>
  <conditionalFormatting sqref="P27:R27">
    <cfRule type="expression" dxfId="13" priority="5" stopIfTrue="1">
      <formula>$Q$11="sim"</formula>
    </cfRule>
  </conditionalFormatting>
  <conditionalFormatting sqref="P47:R48">
    <cfRule type="expression" dxfId="12" priority="4" stopIfTrue="1">
      <formula>P47=""</formula>
    </cfRule>
  </conditionalFormatting>
  <conditionalFormatting sqref="I29:R29">
    <cfRule type="expression" dxfId="11" priority="2" stopIfTrue="1">
      <formula>AND(NOT($V$27),NOT($V$29))</formula>
    </cfRule>
  </conditionalFormatting>
  <conditionalFormatting sqref="P18:R26">
    <cfRule type="expression" dxfId="10" priority="1" stopIfTrue="1">
      <formula>$I$11=$A$58</formula>
    </cfRule>
  </conditionalFormatting>
  <dataValidations count="6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/>
    <dataValidation type="list" allowBlank="1" showInputMessage="1" showErrorMessage="1" sqref="I11:P11">
      <formula1>$A$52:$A$59</formula1>
    </dataValidation>
  </dataValidations>
  <pageMargins left="0.511811024" right="0.511811024" top="0.78740157499999996" bottom="0.78740157499999996" header="0.31496062000000002" footer="0.31496062000000002"/>
  <pageSetup paperSize="9" scale="86" fitToHeight="0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39"/>
  <sheetViews>
    <sheetView zoomScaleNormal="100" workbookViewId="0">
      <selection activeCell="F14" sqref="F14"/>
    </sheetView>
  </sheetViews>
  <sheetFormatPr defaultRowHeight="12.75" x14ac:dyDescent="0.2"/>
  <cols>
    <col min="1" max="1" width="6.85546875" bestFit="1" customWidth="1"/>
    <col min="2" max="2" width="52.42578125" customWidth="1"/>
    <col min="3" max="3" width="19" style="144" customWidth="1"/>
    <col min="4" max="4" width="24.140625" customWidth="1"/>
    <col min="5" max="5" width="17.85546875" customWidth="1"/>
    <col min="6" max="6" width="18.42578125" customWidth="1"/>
    <col min="7" max="7" width="28.28515625" customWidth="1"/>
    <col min="8" max="8" width="24.28515625" customWidth="1"/>
    <col min="9" max="10" width="21.42578125" customWidth="1"/>
    <col min="11" max="11" width="24.28515625" customWidth="1"/>
    <col min="12" max="12" width="21.85546875" customWidth="1"/>
    <col min="13" max="13" width="20.7109375" customWidth="1"/>
    <col min="14" max="15" width="16.42578125" customWidth="1"/>
    <col min="16" max="16" width="19.42578125" customWidth="1"/>
    <col min="17" max="17" width="16.42578125" customWidth="1"/>
    <col min="18" max="18" width="21" customWidth="1"/>
    <col min="19" max="19" width="19.7109375" style="144" customWidth="1"/>
    <col min="20" max="23" width="11.42578125" style="135" bestFit="1" customWidth="1"/>
    <col min="24" max="532" width="9.140625" style="135"/>
    <col min="533" max="620" width="9.140625" style="143"/>
  </cols>
  <sheetData>
    <row r="1" spans="1:620" s="2" customFormat="1" ht="15" customHeight="1" x14ac:dyDescent="0.2">
      <c r="A1" s="594" t="s">
        <v>103</v>
      </c>
      <c r="B1" s="595"/>
      <c r="C1" s="595"/>
      <c r="D1" s="595"/>
      <c r="E1" s="595"/>
      <c r="F1" s="595"/>
      <c r="G1" s="595"/>
      <c r="H1" s="595"/>
      <c r="I1" s="595"/>
      <c r="J1" s="595"/>
      <c r="K1" s="305"/>
      <c r="L1" s="305"/>
      <c r="M1" s="305"/>
      <c r="N1" s="305"/>
      <c r="O1" s="139"/>
      <c r="P1" s="140"/>
      <c r="Q1" s="165"/>
      <c r="R1" s="294"/>
      <c r="S1" s="29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  <c r="IW1" s="134"/>
      <c r="IX1" s="134"/>
      <c r="IY1" s="134"/>
      <c r="IZ1" s="134"/>
      <c r="JA1" s="134"/>
      <c r="JB1" s="134"/>
      <c r="JC1" s="134"/>
      <c r="JD1" s="134"/>
      <c r="JE1" s="134"/>
      <c r="JF1" s="134"/>
      <c r="JG1" s="134"/>
      <c r="JH1" s="134"/>
      <c r="JI1" s="134"/>
      <c r="JJ1" s="134"/>
      <c r="JK1" s="134"/>
      <c r="JL1" s="134"/>
      <c r="JM1" s="134"/>
      <c r="JN1" s="134"/>
      <c r="JO1" s="134"/>
      <c r="JP1" s="134"/>
      <c r="JQ1" s="134"/>
      <c r="JR1" s="134"/>
      <c r="JS1" s="134"/>
      <c r="JT1" s="134"/>
      <c r="JU1" s="134"/>
      <c r="JV1" s="134"/>
      <c r="JW1" s="134"/>
      <c r="JX1" s="134"/>
      <c r="JY1" s="134"/>
      <c r="JZ1" s="134"/>
      <c r="KA1" s="134"/>
      <c r="KB1" s="134"/>
      <c r="KC1" s="134"/>
      <c r="KD1" s="134"/>
      <c r="KE1" s="134"/>
      <c r="KF1" s="134"/>
      <c r="KG1" s="134"/>
      <c r="KH1" s="134"/>
      <c r="KI1" s="134"/>
      <c r="KJ1" s="134"/>
      <c r="KK1" s="134"/>
      <c r="KL1" s="134"/>
      <c r="KM1" s="134"/>
      <c r="KN1" s="134"/>
      <c r="KO1" s="134"/>
      <c r="KP1" s="134"/>
      <c r="KQ1" s="134"/>
      <c r="KR1" s="134"/>
      <c r="KS1" s="134"/>
      <c r="KT1" s="134"/>
      <c r="KU1" s="134"/>
      <c r="KV1" s="134"/>
      <c r="KW1" s="134"/>
      <c r="KX1" s="134"/>
      <c r="KY1" s="134"/>
      <c r="KZ1" s="134"/>
      <c r="LA1" s="134"/>
      <c r="LB1" s="134"/>
      <c r="LC1" s="134"/>
      <c r="LD1" s="134"/>
      <c r="LE1" s="134"/>
      <c r="LF1" s="134"/>
      <c r="LG1" s="134"/>
      <c r="LH1" s="134"/>
      <c r="LI1" s="134"/>
      <c r="LJ1" s="134"/>
      <c r="LK1" s="134"/>
      <c r="LL1" s="134"/>
      <c r="LM1" s="134"/>
      <c r="LN1" s="134"/>
      <c r="LO1" s="134"/>
      <c r="LP1" s="134"/>
      <c r="LQ1" s="134"/>
      <c r="LR1" s="134"/>
      <c r="LS1" s="134"/>
      <c r="LT1" s="134"/>
      <c r="LU1" s="134"/>
      <c r="LV1" s="134"/>
      <c r="LW1" s="134"/>
      <c r="LX1" s="134"/>
      <c r="LY1" s="134"/>
      <c r="LZ1" s="134"/>
      <c r="MA1" s="134"/>
      <c r="MB1" s="134"/>
      <c r="MC1" s="134"/>
      <c r="MD1" s="134"/>
      <c r="ME1" s="134"/>
      <c r="MF1" s="134"/>
      <c r="MG1" s="134"/>
      <c r="MH1" s="134"/>
      <c r="MI1" s="134"/>
      <c r="MJ1" s="134"/>
      <c r="MK1" s="134"/>
      <c r="ML1" s="134"/>
      <c r="MM1" s="134"/>
      <c r="MN1" s="134"/>
      <c r="MO1" s="134"/>
      <c r="MP1" s="134"/>
      <c r="MQ1" s="134"/>
      <c r="MR1" s="134"/>
      <c r="MS1" s="134"/>
      <c r="MT1" s="134"/>
      <c r="MU1" s="134"/>
      <c r="MV1" s="134"/>
      <c r="MW1" s="134"/>
      <c r="MX1" s="134"/>
      <c r="MY1" s="134"/>
      <c r="MZ1" s="134"/>
      <c r="NA1" s="134"/>
      <c r="NB1" s="134"/>
      <c r="NC1" s="134"/>
      <c r="ND1" s="134"/>
      <c r="NE1" s="134"/>
      <c r="NF1" s="134"/>
      <c r="NG1" s="134"/>
      <c r="NH1" s="134"/>
      <c r="NI1" s="134"/>
      <c r="NJ1" s="134"/>
      <c r="NK1" s="134"/>
      <c r="NL1" s="134"/>
      <c r="NM1" s="134"/>
      <c r="NN1" s="134"/>
      <c r="NO1" s="134"/>
      <c r="NP1" s="134"/>
      <c r="NQ1" s="134"/>
      <c r="NR1" s="134"/>
      <c r="NS1" s="134"/>
      <c r="NT1" s="134"/>
      <c r="NU1" s="134"/>
      <c r="NV1" s="134"/>
      <c r="NW1" s="134"/>
      <c r="NX1" s="134"/>
      <c r="NY1" s="134"/>
      <c r="NZ1" s="134"/>
      <c r="OA1" s="134"/>
      <c r="OB1" s="134"/>
      <c r="OC1" s="134"/>
      <c r="OD1" s="134"/>
      <c r="OE1" s="134"/>
      <c r="OF1" s="134"/>
      <c r="OG1" s="134"/>
      <c r="OH1" s="134"/>
      <c r="OI1" s="134"/>
      <c r="OJ1" s="134"/>
      <c r="OK1" s="134"/>
      <c r="OL1" s="134"/>
      <c r="OM1" s="134"/>
      <c r="ON1" s="134"/>
      <c r="OO1" s="134"/>
      <c r="OP1" s="134"/>
      <c r="OQ1" s="134"/>
      <c r="OR1" s="134"/>
      <c r="OS1" s="134"/>
      <c r="OT1" s="134"/>
      <c r="OU1" s="134"/>
      <c r="OV1" s="134"/>
      <c r="OW1" s="134"/>
      <c r="OX1" s="134"/>
      <c r="OY1" s="134"/>
      <c r="OZ1" s="134"/>
      <c r="PA1" s="134"/>
      <c r="PB1" s="134"/>
      <c r="PC1" s="134"/>
      <c r="PD1" s="134"/>
      <c r="PE1" s="134"/>
      <c r="PF1" s="134"/>
      <c r="PG1" s="134"/>
      <c r="PH1" s="134"/>
      <c r="PI1" s="134"/>
      <c r="PJ1" s="134"/>
      <c r="PK1" s="134"/>
      <c r="PL1" s="134"/>
      <c r="PM1" s="134"/>
      <c r="PN1" s="134"/>
      <c r="PO1" s="134"/>
      <c r="PP1" s="134"/>
      <c r="PQ1" s="134"/>
      <c r="PR1" s="134"/>
      <c r="PS1" s="134"/>
      <c r="PT1" s="134"/>
      <c r="PU1" s="134"/>
      <c r="PV1" s="134"/>
      <c r="PW1" s="134"/>
      <c r="PX1" s="134"/>
      <c r="PY1" s="134"/>
      <c r="PZ1" s="134"/>
      <c r="QA1" s="134"/>
      <c r="QB1" s="134"/>
      <c r="QC1" s="134"/>
      <c r="QD1" s="134"/>
      <c r="QE1" s="134"/>
      <c r="QF1" s="134"/>
      <c r="QG1" s="134"/>
      <c r="QH1" s="134"/>
      <c r="QI1" s="134"/>
      <c r="QJ1" s="134"/>
      <c r="QK1" s="134"/>
      <c r="QL1" s="134"/>
      <c r="QM1" s="134"/>
      <c r="QN1" s="134"/>
      <c r="QO1" s="134"/>
      <c r="QP1" s="134"/>
      <c r="QQ1" s="134"/>
      <c r="QR1" s="134"/>
      <c r="QS1" s="134"/>
      <c r="QT1" s="134"/>
      <c r="QU1" s="134"/>
      <c r="QV1" s="134"/>
      <c r="QW1" s="134"/>
      <c r="QX1" s="134"/>
      <c r="QY1" s="134"/>
      <c r="QZ1" s="134"/>
      <c r="RA1" s="134"/>
      <c r="RB1" s="134"/>
      <c r="RC1" s="134"/>
      <c r="RD1" s="134"/>
      <c r="RE1" s="134"/>
      <c r="RF1" s="134"/>
      <c r="RG1" s="134"/>
      <c r="RH1" s="134"/>
      <c r="RI1" s="134"/>
      <c r="RJ1" s="134"/>
      <c r="RK1" s="134"/>
      <c r="RL1" s="134"/>
      <c r="RM1" s="134"/>
      <c r="RN1" s="134"/>
      <c r="RO1" s="134"/>
      <c r="RP1" s="134"/>
      <c r="RQ1" s="134"/>
      <c r="RR1" s="134"/>
      <c r="RS1" s="134"/>
      <c r="RT1" s="134"/>
      <c r="RU1" s="134"/>
      <c r="RV1" s="134"/>
      <c r="RW1" s="134"/>
      <c r="RX1" s="134"/>
      <c r="RY1" s="134"/>
      <c r="RZ1" s="134"/>
      <c r="SA1" s="134"/>
      <c r="SB1" s="134"/>
      <c r="SC1" s="134"/>
      <c r="SD1" s="134"/>
      <c r="SE1" s="134"/>
      <c r="SF1" s="134"/>
      <c r="SG1" s="134"/>
      <c r="SH1" s="134"/>
      <c r="SI1" s="134"/>
      <c r="SJ1" s="134"/>
      <c r="SK1" s="134"/>
      <c r="SL1" s="134"/>
      <c r="SM1" s="134"/>
      <c r="SN1" s="134"/>
      <c r="SO1" s="134"/>
      <c r="SP1" s="134"/>
      <c r="SQ1" s="134"/>
      <c r="SR1" s="134"/>
      <c r="SS1" s="134"/>
      <c r="ST1" s="134"/>
      <c r="SU1" s="134"/>
      <c r="SV1" s="134"/>
      <c r="SW1" s="134"/>
      <c r="SX1" s="134"/>
      <c r="SY1" s="134"/>
      <c r="SZ1" s="134"/>
      <c r="TA1" s="134"/>
      <c r="TB1" s="134"/>
      <c r="TC1" s="134"/>
      <c r="TD1" s="134"/>
      <c r="TE1" s="134"/>
      <c r="TF1" s="134"/>
      <c r="TG1" s="134"/>
      <c r="TH1" s="134"/>
      <c r="TI1" s="134"/>
      <c r="TJ1" s="134"/>
      <c r="TK1" s="134"/>
      <c r="TL1" s="134"/>
      <c r="TM1" s="142"/>
      <c r="TN1" s="142"/>
      <c r="TO1" s="142"/>
      <c r="TP1" s="142"/>
      <c r="TQ1" s="142"/>
      <c r="TR1" s="142"/>
      <c r="TS1" s="142"/>
      <c r="TT1" s="142"/>
      <c r="TU1" s="142"/>
      <c r="TV1" s="142"/>
      <c r="TW1" s="142"/>
      <c r="TX1" s="142"/>
      <c r="TY1" s="142"/>
      <c r="TZ1" s="142"/>
      <c r="UA1" s="142"/>
      <c r="UB1" s="142"/>
      <c r="UC1" s="142"/>
      <c r="UD1" s="142"/>
      <c r="UE1" s="142"/>
      <c r="UF1" s="142"/>
      <c r="UG1" s="142"/>
      <c r="UH1" s="142"/>
      <c r="UI1" s="142"/>
      <c r="UJ1" s="142"/>
      <c r="UK1" s="142"/>
      <c r="UL1" s="142"/>
      <c r="UM1" s="142"/>
      <c r="UN1" s="142"/>
      <c r="UO1" s="142"/>
      <c r="UP1" s="142"/>
      <c r="UQ1" s="142"/>
      <c r="UR1" s="142"/>
      <c r="US1" s="142"/>
      <c r="UT1" s="142"/>
      <c r="UU1" s="142"/>
      <c r="UV1" s="142"/>
      <c r="UW1" s="142"/>
      <c r="UX1" s="142"/>
      <c r="UY1" s="142"/>
      <c r="UZ1" s="142"/>
      <c r="VA1" s="142"/>
      <c r="VB1" s="142"/>
      <c r="VC1" s="142"/>
      <c r="VD1" s="142"/>
      <c r="VE1" s="142"/>
      <c r="VF1" s="142"/>
      <c r="VG1" s="142"/>
      <c r="VH1" s="142"/>
      <c r="VI1" s="142"/>
      <c r="VJ1" s="142"/>
      <c r="VK1" s="142"/>
      <c r="VL1" s="142"/>
      <c r="VM1" s="142"/>
      <c r="VN1" s="142"/>
      <c r="VO1" s="142"/>
      <c r="VP1" s="142"/>
      <c r="VQ1" s="142"/>
      <c r="VR1" s="142"/>
      <c r="VS1" s="142"/>
      <c r="VT1" s="142"/>
      <c r="VU1" s="142"/>
      <c r="VV1" s="142"/>
      <c r="VW1" s="142"/>
      <c r="VX1" s="142"/>
      <c r="VY1" s="142"/>
      <c r="VZ1" s="142"/>
      <c r="WA1" s="142"/>
      <c r="WB1" s="142"/>
      <c r="WC1" s="142"/>
      <c r="WD1" s="142"/>
      <c r="WE1" s="142"/>
      <c r="WF1" s="142"/>
      <c r="WG1" s="142"/>
      <c r="WH1" s="142"/>
      <c r="WI1" s="142"/>
      <c r="WJ1" s="142"/>
      <c r="WK1" s="142"/>
      <c r="WL1" s="142"/>
      <c r="WM1" s="142"/>
      <c r="WN1" s="142"/>
      <c r="WO1" s="142"/>
      <c r="WP1" s="142"/>
      <c r="WQ1" s="142"/>
      <c r="WR1" s="142"/>
      <c r="WS1" s="142"/>
      <c r="WT1" s="142"/>
      <c r="WU1" s="142"/>
      <c r="WV1" s="142"/>
    </row>
    <row r="2" spans="1:620" s="2" customFormat="1" ht="8.1" customHeight="1" x14ac:dyDescent="0.2">
      <c r="A2" s="14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95"/>
      <c r="S2" s="295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  <c r="NX2" s="134"/>
      <c r="NY2" s="134"/>
      <c r="NZ2" s="134"/>
      <c r="OA2" s="134"/>
      <c r="OB2" s="134"/>
      <c r="OC2" s="134"/>
      <c r="OD2" s="134"/>
      <c r="OE2" s="134"/>
      <c r="OF2" s="134"/>
      <c r="OG2" s="134"/>
      <c r="OH2" s="134"/>
      <c r="OI2" s="134"/>
      <c r="OJ2" s="134"/>
      <c r="OK2" s="134"/>
      <c r="OL2" s="134"/>
      <c r="OM2" s="134"/>
      <c r="ON2" s="134"/>
      <c r="OO2" s="134"/>
      <c r="OP2" s="134"/>
      <c r="OQ2" s="134"/>
      <c r="OR2" s="134"/>
      <c r="OS2" s="134"/>
      <c r="OT2" s="134"/>
      <c r="OU2" s="134"/>
      <c r="OV2" s="134"/>
      <c r="OW2" s="134"/>
      <c r="OX2" s="134"/>
      <c r="OY2" s="134"/>
      <c r="OZ2" s="134"/>
      <c r="PA2" s="134"/>
      <c r="PB2" s="134"/>
      <c r="PC2" s="134"/>
      <c r="PD2" s="134"/>
      <c r="PE2" s="134"/>
      <c r="PF2" s="134"/>
      <c r="PG2" s="134"/>
      <c r="PH2" s="134"/>
      <c r="PI2" s="134"/>
      <c r="PJ2" s="134"/>
      <c r="PK2" s="134"/>
      <c r="PL2" s="134"/>
      <c r="PM2" s="134"/>
      <c r="PN2" s="134"/>
      <c r="PO2" s="134"/>
      <c r="PP2" s="134"/>
      <c r="PQ2" s="134"/>
      <c r="PR2" s="134"/>
      <c r="PS2" s="134"/>
      <c r="PT2" s="134"/>
      <c r="PU2" s="134"/>
      <c r="PV2" s="134"/>
      <c r="PW2" s="134"/>
      <c r="PX2" s="134"/>
      <c r="PY2" s="134"/>
      <c r="PZ2" s="134"/>
      <c r="QA2" s="134"/>
      <c r="QB2" s="134"/>
      <c r="QC2" s="134"/>
      <c r="QD2" s="134"/>
      <c r="QE2" s="134"/>
      <c r="QF2" s="134"/>
      <c r="QG2" s="134"/>
      <c r="QH2" s="134"/>
      <c r="QI2" s="134"/>
      <c r="QJ2" s="134"/>
      <c r="QK2" s="134"/>
      <c r="QL2" s="134"/>
      <c r="QM2" s="134"/>
      <c r="QN2" s="134"/>
      <c r="QO2" s="134"/>
      <c r="QP2" s="134"/>
      <c r="QQ2" s="134"/>
      <c r="QR2" s="134"/>
      <c r="QS2" s="134"/>
      <c r="QT2" s="134"/>
      <c r="QU2" s="134"/>
      <c r="QV2" s="134"/>
      <c r="QW2" s="134"/>
      <c r="QX2" s="134"/>
      <c r="QY2" s="134"/>
      <c r="QZ2" s="134"/>
      <c r="RA2" s="134"/>
      <c r="RB2" s="134"/>
      <c r="RC2" s="134"/>
      <c r="RD2" s="134"/>
      <c r="RE2" s="134"/>
      <c r="RF2" s="134"/>
      <c r="RG2" s="134"/>
      <c r="RH2" s="134"/>
      <c r="RI2" s="134"/>
      <c r="RJ2" s="134"/>
      <c r="RK2" s="134"/>
      <c r="RL2" s="134"/>
      <c r="RM2" s="134"/>
      <c r="RN2" s="134"/>
      <c r="RO2" s="134"/>
      <c r="RP2" s="134"/>
      <c r="RQ2" s="134"/>
      <c r="RR2" s="134"/>
      <c r="RS2" s="134"/>
      <c r="RT2" s="134"/>
      <c r="RU2" s="134"/>
      <c r="RV2" s="134"/>
      <c r="RW2" s="134"/>
      <c r="RX2" s="134"/>
      <c r="RY2" s="134"/>
      <c r="RZ2" s="134"/>
      <c r="SA2" s="134"/>
      <c r="SB2" s="134"/>
      <c r="SC2" s="134"/>
      <c r="SD2" s="134"/>
      <c r="SE2" s="134"/>
      <c r="SF2" s="134"/>
      <c r="SG2" s="134"/>
      <c r="SH2" s="134"/>
      <c r="SI2" s="134"/>
      <c r="SJ2" s="134"/>
      <c r="SK2" s="134"/>
      <c r="SL2" s="134"/>
      <c r="SM2" s="134"/>
      <c r="SN2" s="134"/>
      <c r="SO2" s="134"/>
      <c r="SP2" s="134"/>
      <c r="SQ2" s="134"/>
      <c r="SR2" s="134"/>
      <c r="SS2" s="134"/>
      <c r="ST2" s="134"/>
      <c r="SU2" s="134"/>
      <c r="SV2" s="134"/>
      <c r="SW2" s="134"/>
      <c r="SX2" s="134"/>
      <c r="SY2" s="134"/>
      <c r="SZ2" s="134"/>
      <c r="TA2" s="134"/>
      <c r="TB2" s="134"/>
      <c r="TC2" s="134"/>
      <c r="TD2" s="134"/>
      <c r="TE2" s="134"/>
      <c r="TF2" s="134"/>
      <c r="TG2" s="134"/>
      <c r="TH2" s="134"/>
      <c r="TI2" s="134"/>
      <c r="TJ2" s="134"/>
      <c r="TK2" s="134"/>
      <c r="TL2" s="134"/>
      <c r="TM2" s="142"/>
      <c r="TN2" s="142"/>
      <c r="TO2" s="142"/>
      <c r="TP2" s="142"/>
      <c r="TQ2" s="142"/>
      <c r="TR2" s="142"/>
      <c r="TS2" s="142"/>
      <c r="TT2" s="142"/>
      <c r="TU2" s="142"/>
      <c r="TV2" s="142"/>
      <c r="TW2" s="142"/>
      <c r="TX2" s="142"/>
      <c r="TY2" s="142"/>
      <c r="TZ2" s="142"/>
      <c r="UA2" s="142"/>
      <c r="UB2" s="142"/>
      <c r="UC2" s="142"/>
      <c r="UD2" s="142"/>
      <c r="UE2" s="142"/>
      <c r="UF2" s="142"/>
      <c r="UG2" s="142"/>
      <c r="UH2" s="142"/>
      <c r="UI2" s="142"/>
      <c r="UJ2" s="142"/>
      <c r="UK2" s="142"/>
      <c r="UL2" s="142"/>
      <c r="UM2" s="142"/>
      <c r="UN2" s="142"/>
      <c r="UO2" s="142"/>
      <c r="UP2" s="142"/>
      <c r="UQ2" s="142"/>
      <c r="UR2" s="142"/>
      <c r="US2" s="142"/>
      <c r="UT2" s="142"/>
      <c r="UU2" s="142"/>
      <c r="UV2" s="142"/>
      <c r="UW2" s="142"/>
      <c r="UX2" s="142"/>
      <c r="UY2" s="142"/>
      <c r="UZ2" s="142"/>
      <c r="VA2" s="142"/>
      <c r="VB2" s="142"/>
      <c r="VC2" s="142"/>
      <c r="VD2" s="142"/>
      <c r="VE2" s="142"/>
      <c r="VF2" s="142"/>
      <c r="VG2" s="142"/>
      <c r="VH2" s="142"/>
      <c r="VI2" s="142"/>
      <c r="VJ2" s="142"/>
      <c r="VK2" s="142"/>
      <c r="VL2" s="142"/>
      <c r="VM2" s="142"/>
      <c r="VN2" s="142"/>
      <c r="VO2" s="142"/>
      <c r="VP2" s="142"/>
      <c r="VQ2" s="142"/>
      <c r="VR2" s="142"/>
      <c r="VS2" s="142"/>
      <c r="VT2" s="142"/>
      <c r="VU2" s="142"/>
      <c r="VV2" s="142"/>
      <c r="VW2" s="142"/>
      <c r="VX2" s="142"/>
      <c r="VY2" s="142"/>
      <c r="VZ2" s="142"/>
      <c r="WA2" s="142"/>
      <c r="WB2" s="142"/>
      <c r="WC2" s="142"/>
      <c r="WD2" s="142"/>
      <c r="WE2" s="142"/>
      <c r="WF2" s="142"/>
      <c r="WG2" s="142"/>
      <c r="WH2" s="142"/>
      <c r="WI2" s="142"/>
      <c r="WJ2" s="142"/>
      <c r="WK2" s="142"/>
      <c r="WL2" s="142"/>
      <c r="WM2" s="142"/>
      <c r="WN2" s="142"/>
      <c r="WO2" s="142"/>
      <c r="WP2" s="142"/>
      <c r="WQ2" s="142"/>
      <c r="WR2" s="142"/>
      <c r="WS2" s="142"/>
      <c r="WT2" s="142"/>
      <c r="WU2" s="142"/>
      <c r="WV2" s="142"/>
    </row>
    <row r="3" spans="1:620" s="2" customFormat="1" ht="25.5" customHeight="1" x14ac:dyDescent="0.2">
      <c r="A3" s="7"/>
      <c r="B3" s="598" t="s">
        <v>101</v>
      </c>
      <c r="C3" s="598"/>
      <c r="D3" s="598"/>
      <c r="E3" s="598"/>
      <c r="F3" s="598"/>
      <c r="G3" s="136"/>
      <c r="H3" s="8"/>
      <c r="I3" s="8"/>
      <c r="J3" s="8"/>
      <c r="K3" s="8"/>
      <c r="L3" s="8"/>
      <c r="M3" s="8"/>
      <c r="N3" s="8" t="s">
        <v>218</v>
      </c>
      <c r="O3" s="8"/>
      <c r="P3" s="8"/>
      <c r="Q3" s="8"/>
      <c r="R3" s="296"/>
      <c r="S3" s="296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  <c r="NX3" s="134"/>
      <c r="NY3" s="134"/>
      <c r="NZ3" s="134"/>
      <c r="OA3" s="134"/>
      <c r="OB3" s="134"/>
      <c r="OC3" s="134"/>
      <c r="OD3" s="134"/>
      <c r="OE3" s="134"/>
      <c r="OF3" s="134"/>
      <c r="OG3" s="134"/>
      <c r="OH3" s="134"/>
      <c r="OI3" s="134"/>
      <c r="OJ3" s="134"/>
      <c r="OK3" s="134"/>
      <c r="OL3" s="134"/>
      <c r="OM3" s="134"/>
      <c r="ON3" s="134"/>
      <c r="OO3" s="134"/>
      <c r="OP3" s="134"/>
      <c r="OQ3" s="134"/>
      <c r="OR3" s="134"/>
      <c r="OS3" s="134"/>
      <c r="OT3" s="134"/>
      <c r="OU3" s="134"/>
      <c r="OV3" s="134"/>
      <c r="OW3" s="134"/>
      <c r="OX3" s="134"/>
      <c r="OY3" s="134"/>
      <c r="OZ3" s="134"/>
      <c r="PA3" s="134"/>
      <c r="PB3" s="134"/>
      <c r="PC3" s="134"/>
      <c r="PD3" s="134"/>
      <c r="PE3" s="134"/>
      <c r="PF3" s="134"/>
      <c r="PG3" s="134"/>
      <c r="PH3" s="134"/>
      <c r="PI3" s="134"/>
      <c r="PJ3" s="134"/>
      <c r="PK3" s="134"/>
      <c r="PL3" s="134"/>
      <c r="PM3" s="134"/>
      <c r="PN3" s="134"/>
      <c r="PO3" s="134"/>
      <c r="PP3" s="134"/>
      <c r="PQ3" s="134"/>
      <c r="PR3" s="134"/>
      <c r="PS3" s="134"/>
      <c r="PT3" s="134"/>
      <c r="PU3" s="134"/>
      <c r="PV3" s="134"/>
      <c r="PW3" s="134"/>
      <c r="PX3" s="134"/>
      <c r="PY3" s="134"/>
      <c r="PZ3" s="134"/>
      <c r="QA3" s="134"/>
      <c r="QB3" s="134"/>
      <c r="QC3" s="134"/>
      <c r="QD3" s="134"/>
      <c r="QE3" s="134"/>
      <c r="QF3" s="134"/>
      <c r="QG3" s="134"/>
      <c r="QH3" s="134"/>
      <c r="QI3" s="134"/>
      <c r="QJ3" s="134"/>
      <c r="QK3" s="134"/>
      <c r="QL3" s="134"/>
      <c r="QM3" s="134"/>
      <c r="QN3" s="134"/>
      <c r="QO3" s="134"/>
      <c r="QP3" s="134"/>
      <c r="QQ3" s="134"/>
      <c r="QR3" s="134"/>
      <c r="QS3" s="134"/>
      <c r="QT3" s="134"/>
      <c r="QU3" s="134"/>
      <c r="QV3" s="134"/>
      <c r="QW3" s="134"/>
      <c r="QX3" s="134"/>
      <c r="QY3" s="134"/>
      <c r="QZ3" s="134"/>
      <c r="RA3" s="134"/>
      <c r="RB3" s="134"/>
      <c r="RC3" s="134"/>
      <c r="RD3" s="134"/>
      <c r="RE3" s="134"/>
      <c r="RF3" s="134"/>
      <c r="RG3" s="134"/>
      <c r="RH3" s="134"/>
      <c r="RI3" s="134"/>
      <c r="RJ3" s="134"/>
      <c r="RK3" s="134"/>
      <c r="RL3" s="134"/>
      <c r="RM3" s="134"/>
      <c r="RN3" s="134"/>
      <c r="RO3" s="134"/>
      <c r="RP3" s="134"/>
      <c r="RQ3" s="134"/>
      <c r="RR3" s="134"/>
      <c r="RS3" s="134"/>
      <c r="RT3" s="134"/>
      <c r="RU3" s="134"/>
      <c r="RV3" s="134"/>
      <c r="RW3" s="134"/>
      <c r="RX3" s="134"/>
      <c r="RY3" s="134"/>
      <c r="RZ3" s="134"/>
      <c r="SA3" s="134"/>
      <c r="SB3" s="134"/>
      <c r="SC3" s="134"/>
      <c r="SD3" s="134"/>
      <c r="SE3" s="134"/>
      <c r="SF3" s="134"/>
      <c r="SG3" s="134"/>
      <c r="SH3" s="134"/>
      <c r="SI3" s="134"/>
      <c r="SJ3" s="134"/>
      <c r="SK3" s="134"/>
      <c r="SL3" s="134"/>
      <c r="SM3" s="134"/>
      <c r="SN3" s="134"/>
      <c r="SO3" s="134"/>
      <c r="SP3" s="134"/>
      <c r="SQ3" s="134"/>
      <c r="SR3" s="134"/>
      <c r="SS3" s="134"/>
      <c r="ST3" s="134"/>
      <c r="SU3" s="134"/>
      <c r="SV3" s="134"/>
      <c r="SW3" s="134"/>
      <c r="SX3" s="134"/>
      <c r="SY3" s="134"/>
      <c r="SZ3" s="134"/>
      <c r="TA3" s="134"/>
      <c r="TB3" s="134"/>
      <c r="TC3" s="134"/>
      <c r="TD3" s="134"/>
      <c r="TE3" s="134"/>
      <c r="TF3" s="134"/>
      <c r="TG3" s="134"/>
      <c r="TH3" s="134"/>
      <c r="TI3" s="134"/>
      <c r="TJ3" s="134"/>
      <c r="TK3" s="134"/>
      <c r="TL3" s="134"/>
      <c r="TM3" s="142"/>
      <c r="TN3" s="142"/>
      <c r="TO3" s="142"/>
      <c r="TP3" s="142"/>
      <c r="TQ3" s="142"/>
      <c r="TR3" s="142"/>
      <c r="TS3" s="142"/>
      <c r="TT3" s="142"/>
      <c r="TU3" s="142"/>
      <c r="TV3" s="142"/>
      <c r="TW3" s="142"/>
      <c r="TX3" s="142"/>
      <c r="TY3" s="142"/>
      <c r="TZ3" s="142"/>
      <c r="UA3" s="142"/>
      <c r="UB3" s="142"/>
      <c r="UC3" s="142"/>
      <c r="UD3" s="142"/>
      <c r="UE3" s="142"/>
      <c r="UF3" s="142"/>
      <c r="UG3" s="142"/>
      <c r="UH3" s="142"/>
      <c r="UI3" s="142"/>
      <c r="UJ3" s="142"/>
      <c r="UK3" s="142"/>
      <c r="UL3" s="142"/>
      <c r="UM3" s="142"/>
      <c r="UN3" s="142"/>
      <c r="UO3" s="142"/>
      <c r="UP3" s="142"/>
      <c r="UQ3" s="142"/>
      <c r="UR3" s="142"/>
      <c r="US3" s="142"/>
      <c r="UT3" s="142"/>
      <c r="UU3" s="142"/>
      <c r="UV3" s="142"/>
      <c r="UW3" s="142"/>
      <c r="UX3" s="142"/>
      <c r="UY3" s="142"/>
      <c r="UZ3" s="142"/>
      <c r="VA3" s="142"/>
      <c r="VB3" s="142"/>
      <c r="VC3" s="142"/>
      <c r="VD3" s="142"/>
      <c r="VE3" s="142"/>
      <c r="VF3" s="142"/>
      <c r="VG3" s="142"/>
      <c r="VH3" s="142"/>
      <c r="VI3" s="142"/>
      <c r="VJ3" s="142"/>
      <c r="VK3" s="142"/>
      <c r="VL3" s="142"/>
      <c r="VM3" s="142"/>
      <c r="VN3" s="142"/>
      <c r="VO3" s="142"/>
      <c r="VP3" s="142"/>
      <c r="VQ3" s="142"/>
      <c r="VR3" s="142"/>
      <c r="VS3" s="142"/>
      <c r="VT3" s="142"/>
      <c r="VU3" s="142"/>
      <c r="VV3" s="142"/>
      <c r="VW3" s="142"/>
      <c r="VX3" s="142"/>
      <c r="VY3" s="142"/>
      <c r="VZ3" s="142"/>
      <c r="WA3" s="142"/>
      <c r="WB3" s="142"/>
      <c r="WC3" s="142"/>
      <c r="WD3" s="142"/>
      <c r="WE3" s="142"/>
      <c r="WF3" s="142"/>
      <c r="WG3" s="142"/>
      <c r="WH3" s="142"/>
      <c r="WI3" s="142"/>
      <c r="WJ3" s="142"/>
      <c r="WK3" s="142"/>
      <c r="WL3" s="142"/>
      <c r="WM3" s="142"/>
      <c r="WN3" s="142"/>
      <c r="WO3" s="142"/>
      <c r="WP3" s="142"/>
      <c r="WQ3" s="142"/>
      <c r="WR3" s="142"/>
      <c r="WS3" s="142"/>
      <c r="WT3" s="142"/>
      <c r="WU3" s="142"/>
      <c r="WV3" s="142"/>
    </row>
    <row r="4" spans="1:620" s="2" customFormat="1" ht="8.1" customHeight="1" x14ac:dyDescent="0.2">
      <c r="A4" s="7"/>
      <c r="B4" s="6"/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296"/>
      <c r="S4" s="296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  <c r="NX4" s="134"/>
      <c r="NY4" s="134"/>
      <c r="NZ4" s="134"/>
      <c r="OA4" s="134"/>
      <c r="OB4" s="134"/>
      <c r="OC4" s="134"/>
      <c r="OD4" s="134"/>
      <c r="OE4" s="134"/>
      <c r="OF4" s="134"/>
      <c r="OG4" s="134"/>
      <c r="OH4" s="134"/>
      <c r="OI4" s="134"/>
      <c r="OJ4" s="134"/>
      <c r="OK4" s="134"/>
      <c r="OL4" s="134"/>
      <c r="OM4" s="134"/>
      <c r="ON4" s="134"/>
      <c r="OO4" s="134"/>
      <c r="OP4" s="134"/>
      <c r="OQ4" s="134"/>
      <c r="OR4" s="134"/>
      <c r="OS4" s="134"/>
      <c r="OT4" s="134"/>
      <c r="OU4" s="134"/>
      <c r="OV4" s="134"/>
      <c r="OW4" s="134"/>
      <c r="OX4" s="134"/>
      <c r="OY4" s="134"/>
      <c r="OZ4" s="134"/>
      <c r="PA4" s="134"/>
      <c r="PB4" s="134"/>
      <c r="PC4" s="134"/>
      <c r="PD4" s="134"/>
      <c r="PE4" s="134"/>
      <c r="PF4" s="134"/>
      <c r="PG4" s="134"/>
      <c r="PH4" s="134"/>
      <c r="PI4" s="134"/>
      <c r="PJ4" s="134"/>
      <c r="PK4" s="134"/>
      <c r="PL4" s="134"/>
      <c r="PM4" s="134"/>
      <c r="PN4" s="134"/>
      <c r="PO4" s="134"/>
      <c r="PP4" s="134"/>
      <c r="PQ4" s="134"/>
      <c r="PR4" s="134"/>
      <c r="PS4" s="134"/>
      <c r="PT4" s="134"/>
      <c r="PU4" s="134"/>
      <c r="PV4" s="134"/>
      <c r="PW4" s="134"/>
      <c r="PX4" s="134"/>
      <c r="PY4" s="134"/>
      <c r="PZ4" s="134"/>
      <c r="QA4" s="134"/>
      <c r="QB4" s="134"/>
      <c r="QC4" s="134"/>
      <c r="QD4" s="134"/>
      <c r="QE4" s="134"/>
      <c r="QF4" s="134"/>
      <c r="QG4" s="134"/>
      <c r="QH4" s="134"/>
      <c r="QI4" s="134"/>
      <c r="QJ4" s="134"/>
      <c r="QK4" s="134"/>
      <c r="QL4" s="134"/>
      <c r="QM4" s="134"/>
      <c r="QN4" s="134"/>
      <c r="QO4" s="134"/>
      <c r="QP4" s="134"/>
      <c r="QQ4" s="134"/>
      <c r="QR4" s="134"/>
      <c r="QS4" s="134"/>
      <c r="QT4" s="134"/>
      <c r="QU4" s="134"/>
      <c r="QV4" s="134"/>
      <c r="QW4" s="134"/>
      <c r="QX4" s="134"/>
      <c r="QY4" s="134"/>
      <c r="QZ4" s="134"/>
      <c r="RA4" s="134"/>
      <c r="RB4" s="134"/>
      <c r="RC4" s="134"/>
      <c r="RD4" s="134"/>
      <c r="RE4" s="134"/>
      <c r="RF4" s="134"/>
      <c r="RG4" s="134"/>
      <c r="RH4" s="134"/>
      <c r="RI4" s="134"/>
      <c r="RJ4" s="134"/>
      <c r="RK4" s="134"/>
      <c r="RL4" s="134"/>
      <c r="RM4" s="134"/>
      <c r="RN4" s="134"/>
      <c r="RO4" s="134"/>
      <c r="RP4" s="134"/>
      <c r="RQ4" s="134"/>
      <c r="RR4" s="134"/>
      <c r="RS4" s="134"/>
      <c r="RT4" s="134"/>
      <c r="RU4" s="134"/>
      <c r="RV4" s="134"/>
      <c r="RW4" s="134"/>
      <c r="RX4" s="134"/>
      <c r="RY4" s="134"/>
      <c r="RZ4" s="134"/>
      <c r="SA4" s="134"/>
      <c r="SB4" s="134"/>
      <c r="SC4" s="134"/>
      <c r="SD4" s="134"/>
      <c r="SE4" s="134"/>
      <c r="SF4" s="134"/>
      <c r="SG4" s="134"/>
      <c r="SH4" s="134"/>
      <c r="SI4" s="134"/>
      <c r="SJ4" s="134"/>
      <c r="SK4" s="134"/>
      <c r="SL4" s="134"/>
      <c r="SM4" s="134"/>
      <c r="SN4" s="134"/>
      <c r="SO4" s="134"/>
      <c r="SP4" s="134"/>
      <c r="SQ4" s="134"/>
      <c r="SR4" s="134"/>
      <c r="SS4" s="134"/>
      <c r="ST4" s="134"/>
      <c r="SU4" s="134"/>
      <c r="SV4" s="134"/>
      <c r="SW4" s="134"/>
      <c r="SX4" s="134"/>
      <c r="SY4" s="134"/>
      <c r="SZ4" s="134"/>
      <c r="TA4" s="134"/>
      <c r="TB4" s="134"/>
      <c r="TC4" s="134"/>
      <c r="TD4" s="134"/>
      <c r="TE4" s="134"/>
      <c r="TF4" s="134"/>
      <c r="TG4" s="134"/>
      <c r="TH4" s="134"/>
      <c r="TI4" s="134"/>
      <c r="TJ4" s="134"/>
      <c r="TK4" s="134"/>
      <c r="TL4" s="134"/>
      <c r="TM4" s="142"/>
      <c r="TN4" s="142"/>
      <c r="TO4" s="142"/>
      <c r="TP4" s="142"/>
      <c r="TQ4" s="142"/>
      <c r="TR4" s="142"/>
      <c r="TS4" s="142"/>
      <c r="TT4" s="142"/>
      <c r="TU4" s="142"/>
      <c r="TV4" s="142"/>
      <c r="TW4" s="142"/>
      <c r="TX4" s="142"/>
      <c r="TY4" s="142"/>
      <c r="TZ4" s="142"/>
      <c r="UA4" s="142"/>
      <c r="UB4" s="142"/>
      <c r="UC4" s="142"/>
      <c r="UD4" s="142"/>
      <c r="UE4" s="142"/>
      <c r="UF4" s="142"/>
      <c r="UG4" s="142"/>
      <c r="UH4" s="142"/>
      <c r="UI4" s="142"/>
      <c r="UJ4" s="142"/>
      <c r="UK4" s="142"/>
      <c r="UL4" s="142"/>
      <c r="UM4" s="142"/>
      <c r="UN4" s="142"/>
      <c r="UO4" s="142"/>
      <c r="UP4" s="142"/>
      <c r="UQ4" s="142"/>
      <c r="UR4" s="142"/>
      <c r="US4" s="142"/>
      <c r="UT4" s="142"/>
      <c r="UU4" s="142"/>
      <c r="UV4" s="142"/>
      <c r="UW4" s="142"/>
      <c r="UX4" s="142"/>
      <c r="UY4" s="142"/>
      <c r="UZ4" s="142"/>
      <c r="VA4" s="142"/>
      <c r="VB4" s="142"/>
      <c r="VC4" s="142"/>
      <c r="VD4" s="142"/>
      <c r="VE4" s="142"/>
      <c r="VF4" s="142"/>
      <c r="VG4" s="142"/>
      <c r="VH4" s="142"/>
      <c r="VI4" s="142"/>
      <c r="VJ4" s="142"/>
      <c r="VK4" s="142"/>
      <c r="VL4" s="142"/>
      <c r="VM4" s="142"/>
      <c r="VN4" s="142"/>
      <c r="VO4" s="142"/>
      <c r="VP4" s="142"/>
      <c r="VQ4" s="142"/>
      <c r="VR4" s="142"/>
      <c r="VS4" s="142"/>
      <c r="VT4" s="142"/>
      <c r="VU4" s="142"/>
      <c r="VV4" s="142"/>
      <c r="VW4" s="142"/>
      <c r="VX4" s="142"/>
      <c r="VY4" s="142"/>
      <c r="VZ4" s="142"/>
      <c r="WA4" s="142"/>
      <c r="WB4" s="142"/>
      <c r="WC4" s="142"/>
      <c r="WD4" s="142"/>
      <c r="WE4" s="142"/>
      <c r="WF4" s="142"/>
      <c r="WG4" s="142"/>
      <c r="WH4" s="142"/>
      <c r="WI4" s="142"/>
      <c r="WJ4" s="142"/>
      <c r="WK4" s="142"/>
      <c r="WL4" s="142"/>
      <c r="WM4" s="142"/>
      <c r="WN4" s="142"/>
      <c r="WO4" s="142"/>
      <c r="WP4" s="142"/>
      <c r="WQ4" s="142"/>
      <c r="WR4" s="142"/>
      <c r="WS4" s="142"/>
      <c r="WT4" s="142"/>
      <c r="WU4" s="142"/>
      <c r="WV4" s="142"/>
    </row>
    <row r="5" spans="1:620" s="2" customFormat="1" x14ac:dyDescent="0.2">
      <c r="A5" s="7"/>
      <c r="B5" s="13" t="s">
        <v>217</v>
      </c>
      <c r="C5" s="13"/>
      <c r="D5" s="6"/>
      <c r="E5" s="6"/>
      <c r="F5" s="6"/>
      <c r="G5" s="6"/>
      <c r="H5" s="8"/>
      <c r="I5" s="8"/>
      <c r="J5" s="8"/>
      <c r="K5" s="8"/>
      <c r="L5" s="8"/>
      <c r="M5" s="8"/>
      <c r="N5" s="8"/>
      <c r="O5" s="8"/>
      <c r="P5" s="8"/>
      <c r="Q5" s="8"/>
      <c r="R5" s="296"/>
      <c r="S5" s="296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34"/>
      <c r="JB5" s="134"/>
      <c r="JC5" s="134"/>
      <c r="JD5" s="134"/>
      <c r="JE5" s="134"/>
      <c r="JF5" s="134"/>
      <c r="JG5" s="134"/>
      <c r="JH5" s="134"/>
      <c r="JI5" s="134"/>
      <c r="JJ5" s="134"/>
      <c r="JK5" s="134"/>
      <c r="JL5" s="134"/>
      <c r="JM5" s="134"/>
      <c r="JN5" s="134"/>
      <c r="JO5" s="134"/>
      <c r="JP5" s="134"/>
      <c r="JQ5" s="134"/>
      <c r="JR5" s="134"/>
      <c r="JS5" s="134"/>
      <c r="JT5" s="134"/>
      <c r="JU5" s="134"/>
      <c r="JV5" s="134"/>
      <c r="JW5" s="134"/>
      <c r="JX5" s="134"/>
      <c r="JY5" s="134"/>
      <c r="JZ5" s="134"/>
      <c r="KA5" s="134"/>
      <c r="KB5" s="134"/>
      <c r="KC5" s="134"/>
      <c r="KD5" s="134"/>
      <c r="KE5" s="134"/>
      <c r="KF5" s="134"/>
      <c r="KG5" s="134"/>
      <c r="KH5" s="134"/>
      <c r="KI5" s="134"/>
      <c r="KJ5" s="134"/>
      <c r="KK5" s="134"/>
      <c r="KL5" s="134"/>
      <c r="KM5" s="134"/>
      <c r="KN5" s="134"/>
      <c r="KO5" s="134"/>
      <c r="KP5" s="134"/>
      <c r="KQ5" s="134"/>
      <c r="KR5" s="134"/>
      <c r="KS5" s="134"/>
      <c r="KT5" s="134"/>
      <c r="KU5" s="134"/>
      <c r="KV5" s="134"/>
      <c r="KW5" s="134"/>
      <c r="KX5" s="134"/>
      <c r="KY5" s="134"/>
      <c r="KZ5" s="134"/>
      <c r="LA5" s="134"/>
      <c r="LB5" s="134"/>
      <c r="LC5" s="134"/>
      <c r="LD5" s="134"/>
      <c r="LE5" s="134"/>
      <c r="LF5" s="134"/>
      <c r="LG5" s="134"/>
      <c r="LH5" s="134"/>
      <c r="LI5" s="134"/>
      <c r="LJ5" s="134"/>
      <c r="LK5" s="134"/>
      <c r="LL5" s="134"/>
      <c r="LM5" s="134"/>
      <c r="LN5" s="134"/>
      <c r="LO5" s="134"/>
      <c r="LP5" s="134"/>
      <c r="LQ5" s="134"/>
      <c r="LR5" s="134"/>
      <c r="LS5" s="134"/>
      <c r="LT5" s="134"/>
      <c r="LU5" s="134"/>
      <c r="LV5" s="134"/>
      <c r="LW5" s="134"/>
      <c r="LX5" s="134"/>
      <c r="LY5" s="134"/>
      <c r="LZ5" s="134"/>
      <c r="MA5" s="134"/>
      <c r="MB5" s="134"/>
      <c r="MC5" s="134"/>
      <c r="MD5" s="134"/>
      <c r="ME5" s="134"/>
      <c r="MF5" s="134"/>
      <c r="MG5" s="134"/>
      <c r="MH5" s="134"/>
      <c r="MI5" s="134"/>
      <c r="MJ5" s="134"/>
      <c r="MK5" s="134"/>
      <c r="ML5" s="134"/>
      <c r="MM5" s="134"/>
      <c r="MN5" s="134"/>
      <c r="MO5" s="134"/>
      <c r="MP5" s="134"/>
      <c r="MQ5" s="134"/>
      <c r="MR5" s="134"/>
      <c r="MS5" s="134"/>
      <c r="MT5" s="134"/>
      <c r="MU5" s="134"/>
      <c r="MV5" s="134"/>
      <c r="MW5" s="134"/>
      <c r="MX5" s="134"/>
      <c r="MY5" s="134"/>
      <c r="MZ5" s="134"/>
      <c r="NA5" s="134"/>
      <c r="NB5" s="134"/>
      <c r="NC5" s="134"/>
      <c r="ND5" s="134"/>
      <c r="NE5" s="134"/>
      <c r="NF5" s="134"/>
      <c r="NG5" s="134"/>
      <c r="NH5" s="134"/>
      <c r="NI5" s="134"/>
      <c r="NJ5" s="134"/>
      <c r="NK5" s="134"/>
      <c r="NL5" s="134"/>
      <c r="NM5" s="134"/>
      <c r="NN5" s="134"/>
      <c r="NO5" s="134"/>
      <c r="NP5" s="134"/>
      <c r="NQ5" s="134"/>
      <c r="NR5" s="134"/>
      <c r="NS5" s="134"/>
      <c r="NT5" s="134"/>
      <c r="NU5" s="134"/>
      <c r="NV5" s="134"/>
      <c r="NW5" s="134"/>
      <c r="NX5" s="134"/>
      <c r="NY5" s="134"/>
      <c r="NZ5" s="134"/>
      <c r="OA5" s="134"/>
      <c r="OB5" s="134"/>
      <c r="OC5" s="134"/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34"/>
      <c r="OY5" s="134"/>
      <c r="OZ5" s="134"/>
      <c r="PA5" s="134"/>
      <c r="PB5" s="134"/>
      <c r="PC5" s="134"/>
      <c r="PD5" s="134"/>
      <c r="PE5" s="134"/>
      <c r="PF5" s="134"/>
      <c r="PG5" s="134"/>
      <c r="PH5" s="134"/>
      <c r="PI5" s="134"/>
      <c r="PJ5" s="134"/>
      <c r="PK5" s="134"/>
      <c r="PL5" s="134"/>
      <c r="PM5" s="134"/>
      <c r="PN5" s="134"/>
      <c r="PO5" s="134"/>
      <c r="PP5" s="134"/>
      <c r="PQ5" s="134"/>
      <c r="PR5" s="134"/>
      <c r="PS5" s="134"/>
      <c r="PT5" s="134"/>
      <c r="PU5" s="134"/>
      <c r="PV5" s="134"/>
      <c r="PW5" s="134"/>
      <c r="PX5" s="134"/>
      <c r="PY5" s="134"/>
      <c r="PZ5" s="134"/>
      <c r="QA5" s="134"/>
      <c r="QB5" s="134"/>
      <c r="QC5" s="134"/>
      <c r="QD5" s="134"/>
      <c r="QE5" s="134"/>
      <c r="QF5" s="134"/>
      <c r="QG5" s="134"/>
      <c r="QH5" s="134"/>
      <c r="QI5" s="134"/>
      <c r="QJ5" s="134"/>
      <c r="QK5" s="134"/>
      <c r="QL5" s="134"/>
      <c r="QM5" s="134"/>
      <c r="QN5" s="134"/>
      <c r="QO5" s="134"/>
      <c r="QP5" s="134"/>
      <c r="QQ5" s="134"/>
      <c r="QR5" s="134"/>
      <c r="QS5" s="134"/>
      <c r="QT5" s="134"/>
      <c r="QU5" s="134"/>
      <c r="QV5" s="134"/>
      <c r="QW5" s="134"/>
      <c r="QX5" s="134"/>
      <c r="QY5" s="134"/>
      <c r="QZ5" s="134"/>
      <c r="RA5" s="134"/>
      <c r="RB5" s="134"/>
      <c r="RC5" s="134"/>
      <c r="RD5" s="134"/>
      <c r="RE5" s="134"/>
      <c r="RF5" s="134"/>
      <c r="RG5" s="134"/>
      <c r="RH5" s="134"/>
      <c r="RI5" s="134"/>
      <c r="RJ5" s="134"/>
      <c r="RK5" s="134"/>
      <c r="RL5" s="134"/>
      <c r="RM5" s="134"/>
      <c r="RN5" s="134"/>
      <c r="RO5" s="134"/>
      <c r="RP5" s="134"/>
      <c r="RQ5" s="134"/>
      <c r="RR5" s="134"/>
      <c r="RS5" s="134"/>
      <c r="RT5" s="134"/>
      <c r="RU5" s="134"/>
      <c r="RV5" s="134"/>
      <c r="RW5" s="134"/>
      <c r="RX5" s="134"/>
      <c r="RY5" s="134"/>
      <c r="RZ5" s="134"/>
      <c r="SA5" s="134"/>
      <c r="SB5" s="134"/>
      <c r="SC5" s="134"/>
      <c r="SD5" s="134"/>
      <c r="SE5" s="134"/>
      <c r="SF5" s="134"/>
      <c r="SG5" s="134"/>
      <c r="SH5" s="134"/>
      <c r="SI5" s="134"/>
      <c r="SJ5" s="134"/>
      <c r="SK5" s="134"/>
      <c r="SL5" s="134"/>
      <c r="SM5" s="134"/>
      <c r="SN5" s="134"/>
      <c r="SO5" s="134"/>
      <c r="SP5" s="134"/>
      <c r="SQ5" s="134"/>
      <c r="SR5" s="134"/>
      <c r="SS5" s="134"/>
      <c r="ST5" s="134"/>
      <c r="SU5" s="134"/>
      <c r="SV5" s="134"/>
      <c r="SW5" s="134"/>
      <c r="SX5" s="134"/>
      <c r="SY5" s="134"/>
      <c r="SZ5" s="134"/>
      <c r="TA5" s="134"/>
      <c r="TB5" s="134"/>
      <c r="TC5" s="134"/>
      <c r="TD5" s="134"/>
      <c r="TE5" s="134"/>
      <c r="TF5" s="134"/>
      <c r="TG5" s="134"/>
      <c r="TH5" s="134"/>
      <c r="TI5" s="134"/>
      <c r="TJ5" s="134"/>
      <c r="TK5" s="134"/>
      <c r="TL5" s="134"/>
      <c r="TM5" s="142"/>
      <c r="TN5" s="142"/>
      <c r="TO5" s="142"/>
      <c r="TP5" s="142"/>
      <c r="TQ5" s="142"/>
      <c r="TR5" s="142"/>
      <c r="TS5" s="142"/>
      <c r="TT5" s="142"/>
      <c r="TU5" s="142"/>
      <c r="TV5" s="142"/>
      <c r="TW5" s="142"/>
      <c r="TX5" s="142"/>
      <c r="TY5" s="142"/>
      <c r="TZ5" s="142"/>
      <c r="UA5" s="142"/>
      <c r="UB5" s="142"/>
      <c r="UC5" s="142"/>
      <c r="UD5" s="142"/>
      <c r="UE5" s="142"/>
      <c r="UF5" s="142"/>
      <c r="UG5" s="142"/>
      <c r="UH5" s="142"/>
      <c r="UI5" s="142"/>
      <c r="UJ5" s="142"/>
      <c r="UK5" s="142"/>
      <c r="UL5" s="142"/>
      <c r="UM5" s="142"/>
      <c r="UN5" s="142"/>
      <c r="UO5" s="142"/>
      <c r="UP5" s="142"/>
      <c r="UQ5" s="142"/>
      <c r="UR5" s="142"/>
      <c r="US5" s="142"/>
      <c r="UT5" s="142"/>
      <c r="UU5" s="142"/>
      <c r="UV5" s="142"/>
      <c r="UW5" s="142"/>
      <c r="UX5" s="142"/>
      <c r="UY5" s="142"/>
      <c r="UZ5" s="142"/>
      <c r="VA5" s="142"/>
      <c r="VB5" s="142"/>
      <c r="VC5" s="142"/>
      <c r="VD5" s="142"/>
      <c r="VE5" s="142"/>
      <c r="VF5" s="142"/>
      <c r="VG5" s="142"/>
      <c r="VH5" s="142"/>
      <c r="VI5" s="142"/>
      <c r="VJ5" s="142"/>
      <c r="VK5" s="142"/>
      <c r="VL5" s="142"/>
      <c r="VM5" s="142"/>
      <c r="VN5" s="142"/>
      <c r="VO5" s="142"/>
      <c r="VP5" s="142"/>
      <c r="VQ5" s="142"/>
      <c r="VR5" s="142"/>
      <c r="VS5" s="142"/>
      <c r="VT5" s="142"/>
      <c r="VU5" s="142"/>
      <c r="VV5" s="142"/>
      <c r="VW5" s="142"/>
      <c r="VX5" s="142"/>
      <c r="VY5" s="142"/>
      <c r="VZ5" s="142"/>
      <c r="WA5" s="142"/>
      <c r="WB5" s="142"/>
      <c r="WC5" s="142"/>
      <c r="WD5" s="142"/>
      <c r="WE5" s="142"/>
      <c r="WF5" s="142"/>
      <c r="WG5" s="142"/>
      <c r="WH5" s="142"/>
      <c r="WI5" s="142"/>
      <c r="WJ5" s="142"/>
      <c r="WK5" s="142"/>
      <c r="WL5" s="142"/>
      <c r="WM5" s="142"/>
      <c r="WN5" s="142"/>
      <c r="WO5" s="142"/>
      <c r="WP5" s="142"/>
      <c r="WQ5" s="142"/>
      <c r="WR5" s="142"/>
      <c r="WS5" s="142"/>
      <c r="WT5" s="142"/>
      <c r="WU5" s="142"/>
      <c r="WV5" s="142"/>
    </row>
    <row r="6" spans="1:620" s="2" customFormat="1" ht="8.1" customHeight="1" thickBot="1" x14ac:dyDescent="0.25">
      <c r="A6" s="11"/>
      <c r="B6" s="5"/>
      <c r="C6" s="5"/>
      <c r="D6" s="5"/>
      <c r="E6" s="5"/>
      <c r="F6" s="5"/>
      <c r="G6" s="5"/>
      <c r="H6" s="14"/>
      <c r="I6" s="5"/>
      <c r="J6" s="5"/>
      <c r="K6" s="5"/>
      <c r="L6" s="5"/>
      <c r="M6" s="5"/>
      <c r="N6" s="5"/>
      <c r="O6" s="5"/>
      <c r="P6" s="5"/>
      <c r="Q6" s="5"/>
      <c r="R6" s="297"/>
      <c r="S6" s="297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4"/>
      <c r="JD6" s="134"/>
      <c r="JE6" s="134"/>
      <c r="JF6" s="134"/>
      <c r="JG6" s="134"/>
      <c r="JH6" s="134"/>
      <c r="JI6" s="134"/>
      <c r="JJ6" s="134"/>
      <c r="JK6" s="134"/>
      <c r="JL6" s="134"/>
      <c r="JM6" s="134"/>
      <c r="JN6" s="134"/>
      <c r="JO6" s="134"/>
      <c r="JP6" s="134"/>
      <c r="JQ6" s="134"/>
      <c r="JR6" s="134"/>
      <c r="JS6" s="134"/>
      <c r="JT6" s="134"/>
      <c r="JU6" s="134"/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4"/>
      <c r="KM6" s="134"/>
      <c r="KN6" s="134"/>
      <c r="KO6" s="134"/>
      <c r="KP6" s="134"/>
      <c r="KQ6" s="134"/>
      <c r="KR6" s="134"/>
      <c r="KS6" s="134"/>
      <c r="KT6" s="134"/>
      <c r="KU6" s="134"/>
      <c r="KV6" s="134"/>
      <c r="KW6" s="134"/>
      <c r="KX6" s="134"/>
      <c r="KY6" s="134"/>
      <c r="KZ6" s="134"/>
      <c r="LA6" s="134"/>
      <c r="LB6" s="134"/>
      <c r="LC6" s="134"/>
      <c r="LD6" s="134"/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4"/>
      <c r="LV6" s="134"/>
      <c r="LW6" s="134"/>
      <c r="LX6" s="134"/>
      <c r="LY6" s="134"/>
      <c r="LZ6" s="134"/>
      <c r="MA6" s="134"/>
      <c r="MB6" s="134"/>
      <c r="MC6" s="134"/>
      <c r="MD6" s="134"/>
      <c r="ME6" s="134"/>
      <c r="MF6" s="134"/>
      <c r="MG6" s="134"/>
      <c r="MH6" s="134"/>
      <c r="MI6" s="134"/>
      <c r="MJ6" s="134"/>
      <c r="MK6" s="134"/>
      <c r="ML6" s="134"/>
      <c r="MM6" s="134"/>
      <c r="MN6" s="134"/>
      <c r="MO6" s="134"/>
      <c r="MP6" s="134"/>
      <c r="MQ6" s="134"/>
      <c r="MR6" s="134"/>
      <c r="MS6" s="134"/>
      <c r="MT6" s="134"/>
      <c r="MU6" s="134"/>
      <c r="MV6" s="134"/>
      <c r="MW6" s="134"/>
      <c r="MX6" s="134"/>
      <c r="MY6" s="134"/>
      <c r="MZ6" s="134"/>
      <c r="NA6" s="134"/>
      <c r="NB6" s="134"/>
      <c r="NC6" s="134"/>
      <c r="ND6" s="134"/>
      <c r="NE6" s="134"/>
      <c r="NF6" s="134"/>
      <c r="NG6" s="134"/>
      <c r="NH6" s="134"/>
      <c r="NI6" s="134"/>
      <c r="NJ6" s="134"/>
      <c r="NK6" s="134"/>
      <c r="NL6" s="134"/>
      <c r="NM6" s="134"/>
      <c r="NN6" s="134"/>
      <c r="NO6" s="134"/>
      <c r="NP6" s="134"/>
      <c r="NQ6" s="134"/>
      <c r="NR6" s="134"/>
      <c r="NS6" s="134"/>
      <c r="NT6" s="134"/>
      <c r="NU6" s="134"/>
      <c r="NV6" s="134"/>
      <c r="NW6" s="134"/>
      <c r="NX6" s="134"/>
      <c r="NY6" s="134"/>
      <c r="NZ6" s="134"/>
      <c r="OA6" s="134"/>
      <c r="OB6" s="134"/>
      <c r="OC6" s="134"/>
      <c r="OD6" s="134"/>
      <c r="OE6" s="134"/>
      <c r="OF6" s="134"/>
      <c r="OG6" s="134"/>
      <c r="OH6" s="134"/>
      <c r="OI6" s="134"/>
      <c r="OJ6" s="134"/>
      <c r="OK6" s="134"/>
      <c r="OL6" s="134"/>
      <c r="OM6" s="134"/>
      <c r="ON6" s="134"/>
      <c r="OO6" s="134"/>
      <c r="OP6" s="134"/>
      <c r="OQ6" s="134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  <c r="PG6" s="134"/>
      <c r="PH6" s="134"/>
      <c r="PI6" s="134"/>
      <c r="PJ6" s="134"/>
      <c r="PK6" s="134"/>
      <c r="PL6" s="134"/>
      <c r="PM6" s="134"/>
      <c r="PN6" s="134"/>
      <c r="PO6" s="134"/>
      <c r="PP6" s="134"/>
      <c r="PQ6" s="134"/>
      <c r="PR6" s="134"/>
      <c r="PS6" s="134"/>
      <c r="PT6" s="134"/>
      <c r="PU6" s="134"/>
      <c r="PV6" s="134"/>
      <c r="PW6" s="134"/>
      <c r="PX6" s="134"/>
      <c r="PY6" s="134"/>
      <c r="PZ6" s="134"/>
      <c r="QA6" s="134"/>
      <c r="QB6" s="134"/>
      <c r="QC6" s="134"/>
      <c r="QD6" s="134"/>
      <c r="QE6" s="134"/>
      <c r="QF6" s="134"/>
      <c r="QG6" s="134"/>
      <c r="QH6" s="134"/>
      <c r="QI6" s="134"/>
      <c r="QJ6" s="134"/>
      <c r="QK6" s="134"/>
      <c r="QL6" s="134"/>
      <c r="QM6" s="134"/>
      <c r="QN6" s="134"/>
      <c r="QO6" s="134"/>
      <c r="QP6" s="134"/>
      <c r="QQ6" s="134"/>
      <c r="QR6" s="134"/>
      <c r="QS6" s="134"/>
      <c r="QT6" s="134"/>
      <c r="QU6" s="134"/>
      <c r="QV6" s="134"/>
      <c r="QW6" s="134"/>
      <c r="QX6" s="134"/>
      <c r="QY6" s="134"/>
      <c r="QZ6" s="134"/>
      <c r="RA6" s="134"/>
      <c r="RB6" s="134"/>
      <c r="RC6" s="134"/>
      <c r="RD6" s="134"/>
      <c r="RE6" s="134"/>
      <c r="RF6" s="134"/>
      <c r="RG6" s="134"/>
      <c r="RH6" s="134"/>
      <c r="RI6" s="134"/>
      <c r="RJ6" s="134"/>
      <c r="RK6" s="134"/>
      <c r="RL6" s="134"/>
      <c r="RM6" s="134"/>
      <c r="RN6" s="134"/>
      <c r="RO6" s="134"/>
      <c r="RP6" s="134"/>
      <c r="RQ6" s="134"/>
      <c r="RR6" s="134"/>
      <c r="RS6" s="134"/>
      <c r="RT6" s="134"/>
      <c r="RU6" s="134"/>
      <c r="RV6" s="134"/>
      <c r="RW6" s="134"/>
      <c r="RX6" s="134"/>
      <c r="RY6" s="134"/>
      <c r="RZ6" s="134"/>
      <c r="SA6" s="134"/>
      <c r="SB6" s="134"/>
      <c r="SC6" s="134"/>
      <c r="SD6" s="134"/>
      <c r="SE6" s="134"/>
      <c r="SF6" s="134"/>
      <c r="SG6" s="134"/>
      <c r="SH6" s="134"/>
      <c r="SI6" s="134"/>
      <c r="SJ6" s="134"/>
      <c r="SK6" s="134"/>
      <c r="SL6" s="134"/>
      <c r="SM6" s="134"/>
      <c r="SN6" s="134"/>
      <c r="SO6" s="134"/>
      <c r="SP6" s="134"/>
      <c r="SQ6" s="134"/>
      <c r="SR6" s="134"/>
      <c r="SS6" s="134"/>
      <c r="ST6" s="134"/>
      <c r="SU6" s="134"/>
      <c r="SV6" s="134"/>
      <c r="SW6" s="134"/>
      <c r="SX6" s="134"/>
      <c r="SY6" s="134"/>
      <c r="SZ6" s="134"/>
      <c r="TA6" s="134"/>
      <c r="TB6" s="134"/>
      <c r="TC6" s="134"/>
      <c r="TD6" s="134"/>
      <c r="TE6" s="134"/>
      <c r="TF6" s="134"/>
      <c r="TG6" s="134"/>
      <c r="TH6" s="134"/>
      <c r="TI6" s="134"/>
      <c r="TJ6" s="134"/>
      <c r="TK6" s="134"/>
      <c r="TL6" s="134"/>
      <c r="TM6" s="142"/>
      <c r="TN6" s="142"/>
      <c r="TO6" s="142"/>
      <c r="TP6" s="142"/>
      <c r="TQ6" s="142"/>
      <c r="TR6" s="142"/>
      <c r="TS6" s="142"/>
      <c r="TT6" s="142"/>
      <c r="TU6" s="142"/>
      <c r="TV6" s="142"/>
      <c r="TW6" s="142"/>
      <c r="TX6" s="142"/>
      <c r="TY6" s="142"/>
      <c r="TZ6" s="142"/>
      <c r="UA6" s="142"/>
      <c r="UB6" s="142"/>
      <c r="UC6" s="142"/>
      <c r="UD6" s="142"/>
      <c r="UE6" s="142"/>
      <c r="UF6" s="142"/>
      <c r="UG6" s="142"/>
      <c r="UH6" s="142"/>
      <c r="UI6" s="142"/>
      <c r="UJ6" s="142"/>
      <c r="UK6" s="142"/>
      <c r="UL6" s="142"/>
      <c r="UM6" s="142"/>
      <c r="UN6" s="142"/>
      <c r="UO6" s="142"/>
      <c r="UP6" s="142"/>
      <c r="UQ6" s="142"/>
      <c r="UR6" s="142"/>
      <c r="US6" s="142"/>
      <c r="UT6" s="142"/>
      <c r="UU6" s="142"/>
      <c r="UV6" s="142"/>
      <c r="UW6" s="142"/>
      <c r="UX6" s="142"/>
      <c r="UY6" s="142"/>
      <c r="UZ6" s="142"/>
      <c r="VA6" s="142"/>
      <c r="VB6" s="142"/>
      <c r="VC6" s="142"/>
      <c r="VD6" s="142"/>
      <c r="VE6" s="142"/>
      <c r="VF6" s="142"/>
      <c r="VG6" s="142"/>
      <c r="VH6" s="142"/>
      <c r="VI6" s="142"/>
      <c r="VJ6" s="142"/>
      <c r="VK6" s="142"/>
      <c r="VL6" s="142"/>
      <c r="VM6" s="142"/>
      <c r="VN6" s="142"/>
      <c r="VO6" s="142"/>
      <c r="VP6" s="142"/>
      <c r="VQ6" s="142"/>
      <c r="VR6" s="142"/>
      <c r="VS6" s="142"/>
      <c r="VT6" s="142"/>
      <c r="VU6" s="142"/>
      <c r="VV6" s="142"/>
      <c r="VW6" s="142"/>
      <c r="VX6" s="142"/>
      <c r="VY6" s="142"/>
      <c r="VZ6" s="142"/>
      <c r="WA6" s="142"/>
      <c r="WB6" s="142"/>
      <c r="WC6" s="142"/>
      <c r="WD6" s="142"/>
      <c r="WE6" s="142"/>
      <c r="WF6" s="142"/>
      <c r="WG6" s="142"/>
      <c r="WH6" s="142"/>
      <c r="WI6" s="142"/>
      <c r="WJ6" s="142"/>
      <c r="WK6" s="142"/>
      <c r="WL6" s="142"/>
      <c r="WM6" s="142"/>
      <c r="WN6" s="142"/>
      <c r="WO6" s="142"/>
      <c r="WP6" s="142"/>
      <c r="WQ6" s="142"/>
      <c r="WR6" s="142"/>
      <c r="WS6" s="142"/>
      <c r="WT6" s="142"/>
      <c r="WU6" s="142"/>
      <c r="WV6" s="142"/>
    </row>
    <row r="7" spans="1:620" s="2" customFormat="1" ht="13.5" customHeight="1" thickBot="1" x14ac:dyDescent="0.25">
      <c r="A7" s="596" t="s">
        <v>4</v>
      </c>
      <c r="B7" s="597"/>
      <c r="C7" s="597"/>
      <c r="D7" s="597"/>
      <c r="E7" s="597"/>
      <c r="F7" s="597"/>
      <c r="G7" s="597"/>
      <c r="H7" s="597"/>
      <c r="I7" s="597"/>
      <c r="J7" s="597"/>
      <c r="K7" s="306"/>
      <c r="L7" s="306"/>
      <c r="M7" s="306"/>
      <c r="N7" s="306"/>
      <c r="O7" s="137"/>
      <c r="P7" s="301"/>
      <c r="Q7" s="290"/>
      <c r="R7" s="302"/>
      <c r="S7" s="303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134"/>
      <c r="ND7" s="134"/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4"/>
      <c r="NR7" s="134"/>
      <c r="NS7" s="134"/>
      <c r="NT7" s="134"/>
      <c r="NU7" s="134"/>
      <c r="NV7" s="134"/>
      <c r="NW7" s="134"/>
      <c r="NX7" s="134"/>
      <c r="NY7" s="134"/>
      <c r="NZ7" s="134"/>
      <c r="OA7" s="134"/>
      <c r="OB7" s="134"/>
      <c r="OC7" s="134"/>
      <c r="OD7" s="134"/>
      <c r="OE7" s="134"/>
      <c r="OF7" s="134"/>
      <c r="OG7" s="134"/>
      <c r="OH7" s="134"/>
      <c r="OI7" s="134"/>
      <c r="OJ7" s="134"/>
      <c r="OK7" s="134"/>
      <c r="OL7" s="134"/>
      <c r="OM7" s="134"/>
      <c r="ON7" s="134"/>
      <c r="OO7" s="134"/>
      <c r="OP7" s="134"/>
      <c r="OQ7" s="134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4"/>
      <c r="PF7" s="134"/>
      <c r="PG7" s="134"/>
      <c r="PH7" s="134"/>
      <c r="PI7" s="134"/>
      <c r="PJ7" s="134"/>
      <c r="PK7" s="134"/>
      <c r="PL7" s="134"/>
      <c r="PM7" s="134"/>
      <c r="PN7" s="134"/>
      <c r="PO7" s="134"/>
      <c r="PP7" s="134"/>
      <c r="PQ7" s="134"/>
      <c r="PR7" s="134"/>
      <c r="PS7" s="134"/>
      <c r="PT7" s="134"/>
      <c r="PU7" s="134"/>
      <c r="PV7" s="134"/>
      <c r="PW7" s="134"/>
      <c r="PX7" s="134"/>
      <c r="PY7" s="134"/>
      <c r="PZ7" s="134"/>
      <c r="QA7" s="134"/>
      <c r="QB7" s="134"/>
      <c r="QC7" s="134"/>
      <c r="QD7" s="134"/>
      <c r="QE7" s="134"/>
      <c r="QF7" s="134"/>
      <c r="QG7" s="134"/>
      <c r="QH7" s="134"/>
      <c r="QI7" s="134"/>
      <c r="QJ7" s="134"/>
      <c r="QK7" s="134"/>
      <c r="QL7" s="134"/>
      <c r="QM7" s="134"/>
      <c r="QN7" s="134"/>
      <c r="QO7" s="134"/>
      <c r="QP7" s="134"/>
      <c r="QQ7" s="134"/>
      <c r="QR7" s="134"/>
      <c r="QS7" s="134"/>
      <c r="QT7" s="134"/>
      <c r="QU7" s="134"/>
      <c r="QV7" s="134"/>
      <c r="QW7" s="134"/>
      <c r="QX7" s="134"/>
      <c r="QY7" s="134"/>
      <c r="QZ7" s="134"/>
      <c r="RA7" s="134"/>
      <c r="RB7" s="134"/>
      <c r="RC7" s="134"/>
      <c r="RD7" s="134"/>
      <c r="RE7" s="134"/>
      <c r="RF7" s="134"/>
      <c r="RG7" s="134"/>
      <c r="RH7" s="134"/>
      <c r="RI7" s="134"/>
      <c r="RJ7" s="134"/>
      <c r="RK7" s="134"/>
      <c r="RL7" s="134"/>
      <c r="RM7" s="134"/>
      <c r="RN7" s="134"/>
      <c r="RO7" s="134"/>
      <c r="RP7" s="134"/>
      <c r="RQ7" s="134"/>
      <c r="RR7" s="134"/>
      <c r="RS7" s="134"/>
      <c r="RT7" s="134"/>
      <c r="RU7" s="134"/>
      <c r="RV7" s="134"/>
      <c r="RW7" s="134"/>
      <c r="RX7" s="134"/>
      <c r="RY7" s="134"/>
      <c r="RZ7" s="134"/>
      <c r="SA7" s="134"/>
      <c r="SB7" s="134"/>
      <c r="SC7" s="134"/>
      <c r="SD7" s="134"/>
      <c r="SE7" s="134"/>
      <c r="SF7" s="134"/>
      <c r="SG7" s="134"/>
      <c r="SH7" s="134"/>
      <c r="SI7" s="134"/>
      <c r="SJ7" s="134"/>
      <c r="SK7" s="134"/>
      <c r="SL7" s="134"/>
      <c r="SM7" s="134"/>
      <c r="SN7" s="134"/>
      <c r="SO7" s="134"/>
      <c r="SP7" s="134"/>
      <c r="SQ7" s="134"/>
      <c r="SR7" s="134"/>
      <c r="SS7" s="134"/>
      <c r="ST7" s="134"/>
      <c r="SU7" s="134"/>
      <c r="SV7" s="134"/>
      <c r="SW7" s="134"/>
      <c r="SX7" s="134"/>
      <c r="SY7" s="134"/>
      <c r="SZ7" s="134"/>
      <c r="TA7" s="134"/>
      <c r="TB7" s="134"/>
      <c r="TC7" s="134"/>
      <c r="TD7" s="134"/>
      <c r="TE7" s="134"/>
      <c r="TF7" s="134"/>
      <c r="TG7" s="134"/>
      <c r="TH7" s="134"/>
      <c r="TI7" s="134"/>
      <c r="TJ7" s="134"/>
      <c r="TK7" s="134"/>
      <c r="TL7" s="134"/>
      <c r="TM7" s="142"/>
      <c r="TN7" s="142"/>
      <c r="TO7" s="142"/>
      <c r="TP7" s="142"/>
      <c r="TQ7" s="142"/>
      <c r="TR7" s="142"/>
      <c r="TS7" s="142"/>
      <c r="TT7" s="142"/>
      <c r="TU7" s="142"/>
      <c r="TV7" s="142"/>
      <c r="TW7" s="142"/>
      <c r="TX7" s="142"/>
      <c r="TY7" s="142"/>
      <c r="TZ7" s="142"/>
      <c r="UA7" s="142"/>
      <c r="UB7" s="142"/>
      <c r="UC7" s="142"/>
      <c r="UD7" s="142"/>
      <c r="UE7" s="142"/>
      <c r="UF7" s="142"/>
      <c r="UG7" s="142"/>
      <c r="UH7" s="142"/>
      <c r="UI7" s="142"/>
      <c r="UJ7" s="142"/>
      <c r="UK7" s="142"/>
      <c r="UL7" s="142"/>
      <c r="UM7" s="142"/>
      <c r="UN7" s="142"/>
      <c r="UO7" s="142"/>
      <c r="UP7" s="142"/>
      <c r="UQ7" s="142"/>
      <c r="UR7" s="142"/>
      <c r="US7" s="142"/>
      <c r="UT7" s="142"/>
      <c r="UU7" s="142"/>
      <c r="UV7" s="142"/>
      <c r="UW7" s="142"/>
      <c r="UX7" s="142"/>
      <c r="UY7" s="142"/>
      <c r="UZ7" s="142"/>
      <c r="VA7" s="142"/>
      <c r="VB7" s="142"/>
      <c r="VC7" s="142"/>
      <c r="VD7" s="142"/>
      <c r="VE7" s="142"/>
      <c r="VF7" s="142"/>
      <c r="VG7" s="142"/>
      <c r="VH7" s="142"/>
      <c r="VI7" s="142"/>
      <c r="VJ7" s="142"/>
      <c r="VK7" s="142"/>
      <c r="VL7" s="142"/>
      <c r="VM7" s="142"/>
      <c r="VN7" s="142"/>
      <c r="VO7" s="142"/>
      <c r="VP7" s="142"/>
      <c r="VQ7" s="142"/>
      <c r="VR7" s="142"/>
      <c r="VS7" s="142"/>
      <c r="VT7" s="142"/>
      <c r="VU7" s="142"/>
      <c r="VV7" s="142"/>
      <c r="VW7" s="142"/>
      <c r="VX7" s="142"/>
      <c r="VY7" s="142"/>
      <c r="VZ7" s="142"/>
      <c r="WA7" s="142"/>
      <c r="WB7" s="142"/>
      <c r="WC7" s="142"/>
      <c r="WD7" s="142"/>
      <c r="WE7" s="142"/>
      <c r="WF7" s="142"/>
      <c r="WG7" s="142"/>
      <c r="WH7" s="142"/>
      <c r="WI7" s="142"/>
      <c r="WJ7" s="142"/>
      <c r="WK7" s="142"/>
      <c r="WL7" s="142"/>
      <c r="WM7" s="142"/>
      <c r="WN7" s="142"/>
      <c r="WO7" s="142"/>
      <c r="WP7" s="142"/>
      <c r="WQ7" s="142"/>
      <c r="WR7" s="142"/>
      <c r="WS7" s="142"/>
      <c r="WT7" s="142"/>
      <c r="WU7" s="142"/>
      <c r="WV7" s="142"/>
    </row>
    <row r="8" spans="1:620" s="2" customFormat="1" ht="8.1" customHeight="1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43"/>
      <c r="O8" s="18"/>
      <c r="P8" s="298"/>
      <c r="Q8" s="299"/>
      <c r="R8" s="300"/>
      <c r="S8" s="300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4"/>
      <c r="LZ8" s="134"/>
      <c r="MA8" s="134"/>
      <c r="MB8" s="134"/>
      <c r="MC8" s="134"/>
      <c r="MD8" s="134"/>
      <c r="ME8" s="134"/>
      <c r="MF8" s="134"/>
      <c r="MG8" s="134"/>
      <c r="MH8" s="134"/>
      <c r="MI8" s="134"/>
      <c r="MJ8" s="134"/>
      <c r="MK8" s="134"/>
      <c r="ML8" s="134"/>
      <c r="MM8" s="134"/>
      <c r="MN8" s="134"/>
      <c r="MO8" s="134"/>
      <c r="MP8" s="134"/>
      <c r="MQ8" s="134"/>
      <c r="MR8" s="134"/>
      <c r="MS8" s="134"/>
      <c r="MT8" s="134"/>
      <c r="MU8" s="134"/>
      <c r="MV8" s="134"/>
      <c r="MW8" s="134"/>
      <c r="MX8" s="134"/>
      <c r="MY8" s="134"/>
      <c r="MZ8" s="134"/>
      <c r="NA8" s="134"/>
      <c r="NB8" s="134"/>
      <c r="NC8" s="134"/>
      <c r="ND8" s="134"/>
      <c r="NE8" s="134"/>
      <c r="NF8" s="134"/>
      <c r="NG8" s="134"/>
      <c r="NH8" s="134"/>
      <c r="NI8" s="134"/>
      <c r="NJ8" s="134"/>
      <c r="NK8" s="134"/>
      <c r="NL8" s="134"/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4"/>
      <c r="NX8" s="134"/>
      <c r="NY8" s="134"/>
      <c r="NZ8" s="134"/>
      <c r="OA8" s="134"/>
      <c r="OB8" s="134"/>
      <c r="OC8" s="134"/>
      <c r="OD8" s="134"/>
      <c r="OE8" s="134"/>
      <c r="OF8" s="134"/>
      <c r="OG8" s="134"/>
      <c r="OH8" s="134"/>
      <c r="OI8" s="134"/>
      <c r="OJ8" s="134"/>
      <c r="OK8" s="134"/>
      <c r="OL8" s="134"/>
      <c r="OM8" s="134"/>
      <c r="ON8" s="134"/>
      <c r="OO8" s="134"/>
      <c r="OP8" s="134"/>
      <c r="OQ8" s="134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  <c r="PG8" s="134"/>
      <c r="PH8" s="134"/>
      <c r="PI8" s="134"/>
      <c r="PJ8" s="134"/>
      <c r="PK8" s="134"/>
      <c r="PL8" s="134"/>
      <c r="PM8" s="134"/>
      <c r="PN8" s="134"/>
      <c r="PO8" s="134"/>
      <c r="PP8" s="134"/>
      <c r="PQ8" s="134"/>
      <c r="PR8" s="134"/>
      <c r="PS8" s="134"/>
      <c r="PT8" s="134"/>
      <c r="PU8" s="134"/>
      <c r="PV8" s="134"/>
      <c r="PW8" s="134"/>
      <c r="PX8" s="134"/>
      <c r="PY8" s="134"/>
      <c r="PZ8" s="134"/>
      <c r="QA8" s="134"/>
      <c r="QB8" s="134"/>
      <c r="QC8" s="134"/>
      <c r="QD8" s="134"/>
      <c r="QE8" s="134"/>
      <c r="QF8" s="134"/>
      <c r="QG8" s="134"/>
      <c r="QH8" s="134"/>
      <c r="QI8" s="134"/>
      <c r="QJ8" s="134"/>
      <c r="QK8" s="134"/>
      <c r="QL8" s="134"/>
      <c r="QM8" s="134"/>
      <c r="QN8" s="134"/>
      <c r="QO8" s="134"/>
      <c r="QP8" s="134"/>
      <c r="QQ8" s="134"/>
      <c r="QR8" s="134"/>
      <c r="QS8" s="134"/>
      <c r="QT8" s="134"/>
      <c r="QU8" s="134"/>
      <c r="QV8" s="134"/>
      <c r="QW8" s="134"/>
      <c r="QX8" s="134"/>
      <c r="QY8" s="134"/>
      <c r="QZ8" s="134"/>
      <c r="RA8" s="134"/>
      <c r="RB8" s="134"/>
      <c r="RC8" s="134"/>
      <c r="RD8" s="134"/>
      <c r="RE8" s="134"/>
      <c r="RF8" s="134"/>
      <c r="RG8" s="134"/>
      <c r="RH8" s="134"/>
      <c r="RI8" s="134"/>
      <c r="RJ8" s="134"/>
      <c r="RK8" s="134"/>
      <c r="RL8" s="134"/>
      <c r="RM8" s="134"/>
      <c r="RN8" s="134"/>
      <c r="RO8" s="134"/>
      <c r="RP8" s="134"/>
      <c r="RQ8" s="134"/>
      <c r="RR8" s="134"/>
      <c r="RS8" s="134"/>
      <c r="RT8" s="134"/>
      <c r="RU8" s="134"/>
      <c r="RV8" s="134"/>
      <c r="RW8" s="134"/>
      <c r="RX8" s="134"/>
      <c r="RY8" s="134"/>
      <c r="RZ8" s="134"/>
      <c r="SA8" s="134"/>
      <c r="SB8" s="134"/>
      <c r="SC8" s="134"/>
      <c r="SD8" s="134"/>
      <c r="SE8" s="134"/>
      <c r="SF8" s="134"/>
      <c r="SG8" s="134"/>
      <c r="SH8" s="134"/>
      <c r="SI8" s="134"/>
      <c r="SJ8" s="134"/>
      <c r="SK8" s="134"/>
      <c r="SL8" s="134"/>
      <c r="SM8" s="134"/>
      <c r="SN8" s="134"/>
      <c r="SO8" s="134"/>
      <c r="SP8" s="134"/>
      <c r="SQ8" s="134"/>
      <c r="SR8" s="134"/>
      <c r="SS8" s="134"/>
      <c r="ST8" s="134"/>
      <c r="SU8" s="134"/>
      <c r="SV8" s="134"/>
      <c r="SW8" s="134"/>
      <c r="SX8" s="134"/>
      <c r="SY8" s="134"/>
      <c r="SZ8" s="134"/>
      <c r="TA8" s="134"/>
      <c r="TB8" s="134"/>
      <c r="TC8" s="134"/>
      <c r="TD8" s="134"/>
      <c r="TE8" s="134"/>
      <c r="TF8" s="134"/>
      <c r="TG8" s="134"/>
      <c r="TH8" s="134"/>
      <c r="TI8" s="134"/>
      <c r="TJ8" s="134"/>
      <c r="TK8" s="134"/>
      <c r="TL8" s="134"/>
      <c r="TM8" s="142"/>
      <c r="TN8" s="142"/>
      <c r="TO8" s="142"/>
      <c r="TP8" s="142"/>
      <c r="TQ8" s="142"/>
      <c r="TR8" s="142"/>
      <c r="TS8" s="142"/>
      <c r="TT8" s="142"/>
      <c r="TU8" s="142"/>
      <c r="TV8" s="142"/>
      <c r="TW8" s="142"/>
      <c r="TX8" s="142"/>
      <c r="TY8" s="142"/>
      <c r="TZ8" s="142"/>
      <c r="UA8" s="142"/>
      <c r="UB8" s="142"/>
      <c r="UC8" s="142"/>
      <c r="UD8" s="142"/>
      <c r="UE8" s="142"/>
      <c r="UF8" s="142"/>
      <c r="UG8" s="142"/>
      <c r="UH8" s="142"/>
      <c r="UI8" s="142"/>
      <c r="UJ8" s="142"/>
      <c r="UK8" s="142"/>
      <c r="UL8" s="142"/>
      <c r="UM8" s="142"/>
      <c r="UN8" s="142"/>
      <c r="UO8" s="142"/>
      <c r="UP8" s="142"/>
      <c r="UQ8" s="142"/>
      <c r="UR8" s="142"/>
      <c r="US8" s="142"/>
      <c r="UT8" s="142"/>
      <c r="UU8" s="142"/>
      <c r="UV8" s="142"/>
      <c r="UW8" s="142"/>
      <c r="UX8" s="142"/>
      <c r="UY8" s="142"/>
      <c r="UZ8" s="142"/>
      <c r="VA8" s="142"/>
      <c r="VB8" s="142"/>
      <c r="VC8" s="142"/>
      <c r="VD8" s="142"/>
      <c r="VE8" s="142"/>
      <c r="VF8" s="142"/>
      <c r="VG8" s="142"/>
      <c r="VH8" s="142"/>
      <c r="VI8" s="142"/>
      <c r="VJ8" s="142"/>
      <c r="VK8" s="142"/>
      <c r="VL8" s="142"/>
      <c r="VM8" s="142"/>
      <c r="VN8" s="142"/>
      <c r="VO8" s="142"/>
      <c r="VP8" s="142"/>
      <c r="VQ8" s="142"/>
      <c r="VR8" s="142"/>
      <c r="VS8" s="142"/>
      <c r="VT8" s="142"/>
      <c r="VU8" s="142"/>
      <c r="VV8" s="142"/>
      <c r="VW8" s="142"/>
      <c r="VX8" s="142"/>
      <c r="VY8" s="142"/>
      <c r="VZ8" s="142"/>
      <c r="WA8" s="142"/>
      <c r="WB8" s="142"/>
      <c r="WC8" s="142"/>
      <c r="WD8" s="142"/>
      <c r="WE8" s="142"/>
      <c r="WF8" s="142"/>
      <c r="WG8" s="142"/>
      <c r="WH8" s="142"/>
      <c r="WI8" s="142"/>
      <c r="WJ8" s="142"/>
      <c r="WK8" s="142"/>
      <c r="WL8" s="142"/>
      <c r="WM8" s="142"/>
      <c r="WN8" s="142"/>
      <c r="WO8" s="142"/>
      <c r="WP8" s="142"/>
      <c r="WQ8" s="142"/>
      <c r="WR8" s="142"/>
      <c r="WS8" s="142"/>
      <c r="WT8" s="142"/>
      <c r="WU8" s="142"/>
      <c r="WV8" s="142"/>
    </row>
    <row r="9" spans="1:620" s="2" customFormat="1" ht="75" customHeight="1" x14ac:dyDescent="0.2">
      <c r="A9" s="19" t="s">
        <v>0</v>
      </c>
      <c r="B9" s="146" t="s">
        <v>7</v>
      </c>
      <c r="C9" s="146"/>
      <c r="D9" s="146" t="s">
        <v>9</v>
      </c>
      <c r="E9" s="146" t="s">
        <v>106</v>
      </c>
      <c r="F9" s="146" t="s">
        <v>107</v>
      </c>
      <c r="G9" s="146" t="s">
        <v>108</v>
      </c>
      <c r="H9" s="146" t="s">
        <v>109</v>
      </c>
      <c r="I9" s="146" t="s">
        <v>110</v>
      </c>
      <c r="J9" s="146" t="s">
        <v>111</v>
      </c>
      <c r="K9" s="146" t="s">
        <v>112</v>
      </c>
      <c r="L9" s="146" t="s">
        <v>113</v>
      </c>
      <c r="M9" s="146" t="s">
        <v>114</v>
      </c>
      <c r="N9" s="146" t="s">
        <v>115</v>
      </c>
      <c r="O9" s="146" t="s">
        <v>116</v>
      </c>
      <c r="P9" s="146" t="s">
        <v>118</v>
      </c>
      <c r="Q9" s="292" t="s">
        <v>120</v>
      </c>
      <c r="R9" s="153" t="s">
        <v>121</v>
      </c>
      <c r="S9" s="153" t="s">
        <v>201</v>
      </c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34"/>
      <c r="PH9" s="134"/>
      <c r="PI9" s="134"/>
      <c r="PJ9" s="134"/>
      <c r="PK9" s="134"/>
      <c r="PL9" s="134"/>
      <c r="PM9" s="134"/>
      <c r="PN9" s="134"/>
      <c r="PO9" s="134"/>
      <c r="PP9" s="134"/>
      <c r="PQ9" s="134"/>
      <c r="PR9" s="134"/>
      <c r="PS9" s="134"/>
      <c r="PT9" s="134"/>
      <c r="PU9" s="134"/>
      <c r="PV9" s="134"/>
      <c r="PW9" s="134"/>
      <c r="PX9" s="134"/>
      <c r="PY9" s="134"/>
      <c r="PZ9" s="134"/>
      <c r="QA9" s="134"/>
      <c r="QB9" s="134"/>
      <c r="QC9" s="134"/>
      <c r="QD9" s="134"/>
      <c r="QE9" s="134"/>
      <c r="QF9" s="134"/>
      <c r="QG9" s="134"/>
      <c r="QH9" s="134"/>
      <c r="QI9" s="134"/>
      <c r="QJ9" s="134"/>
      <c r="QK9" s="134"/>
      <c r="QL9" s="134"/>
      <c r="QM9" s="134"/>
      <c r="QN9" s="134"/>
      <c r="QO9" s="134"/>
      <c r="QP9" s="134"/>
      <c r="QQ9" s="134"/>
      <c r="QR9" s="134"/>
      <c r="QS9" s="134"/>
      <c r="QT9" s="134"/>
      <c r="QU9" s="134"/>
      <c r="QV9" s="134"/>
      <c r="QW9" s="134"/>
      <c r="QX9" s="134"/>
      <c r="QY9" s="134"/>
      <c r="QZ9" s="134"/>
      <c r="RA9" s="134"/>
      <c r="RB9" s="134"/>
      <c r="RC9" s="134"/>
      <c r="RD9" s="134"/>
      <c r="RE9" s="134"/>
      <c r="RF9" s="134"/>
      <c r="RG9" s="134"/>
      <c r="RH9" s="134"/>
      <c r="RI9" s="134"/>
      <c r="RJ9" s="134"/>
      <c r="RK9" s="134"/>
      <c r="RL9" s="134"/>
      <c r="RM9" s="134"/>
      <c r="RN9" s="134"/>
      <c r="RO9" s="134"/>
      <c r="RP9" s="134"/>
      <c r="RQ9" s="134"/>
      <c r="RR9" s="134"/>
      <c r="RS9" s="134"/>
      <c r="RT9" s="134"/>
      <c r="RU9" s="134"/>
      <c r="RV9" s="134"/>
      <c r="RW9" s="134"/>
      <c r="RX9" s="134"/>
      <c r="RY9" s="134"/>
      <c r="RZ9" s="134"/>
      <c r="SA9" s="134"/>
      <c r="SB9" s="134"/>
      <c r="SC9" s="134"/>
      <c r="SD9" s="134"/>
      <c r="SE9" s="134"/>
      <c r="SF9" s="134"/>
      <c r="SG9" s="134"/>
      <c r="SH9" s="134"/>
      <c r="SI9" s="134"/>
      <c r="SJ9" s="134"/>
      <c r="SK9" s="134"/>
      <c r="SL9" s="134"/>
      <c r="SM9" s="134"/>
      <c r="SN9" s="134"/>
      <c r="SO9" s="134"/>
      <c r="SP9" s="134"/>
      <c r="SQ9" s="134"/>
      <c r="SR9" s="134"/>
      <c r="SS9" s="134"/>
      <c r="ST9" s="134"/>
      <c r="SU9" s="134"/>
      <c r="SV9" s="134"/>
      <c r="SW9" s="134"/>
      <c r="SX9" s="134"/>
      <c r="SY9" s="134"/>
      <c r="SZ9" s="134"/>
      <c r="TA9" s="134"/>
      <c r="TB9" s="134"/>
      <c r="TC9" s="134"/>
      <c r="TD9" s="134"/>
      <c r="TE9" s="134"/>
      <c r="TF9" s="134"/>
      <c r="TG9" s="134"/>
      <c r="TH9" s="134"/>
      <c r="TI9" s="134"/>
      <c r="TJ9" s="134"/>
      <c r="TK9" s="134"/>
      <c r="TL9" s="134"/>
      <c r="TM9" s="142"/>
      <c r="TN9" s="142"/>
      <c r="TO9" s="142"/>
      <c r="TP9" s="142"/>
      <c r="TQ9" s="142"/>
      <c r="TR9" s="142"/>
      <c r="TS9" s="142"/>
      <c r="TT9" s="142"/>
      <c r="TU9" s="142"/>
      <c r="TV9" s="142"/>
      <c r="TW9" s="142"/>
      <c r="TX9" s="142"/>
      <c r="TY9" s="142"/>
      <c r="TZ9" s="142"/>
      <c r="UA9" s="142"/>
      <c r="UB9" s="142"/>
      <c r="UC9" s="142"/>
      <c r="UD9" s="142"/>
      <c r="UE9" s="142"/>
      <c r="UF9" s="142"/>
      <c r="UG9" s="142"/>
      <c r="UH9" s="142"/>
      <c r="UI9" s="142"/>
      <c r="UJ9" s="142"/>
      <c r="UK9" s="142"/>
      <c r="UL9" s="142"/>
      <c r="UM9" s="142"/>
      <c r="UN9" s="142"/>
      <c r="UO9" s="142"/>
      <c r="UP9" s="142"/>
      <c r="UQ9" s="142"/>
      <c r="UR9" s="142"/>
      <c r="US9" s="142"/>
      <c r="UT9" s="142"/>
      <c r="UU9" s="142"/>
      <c r="UV9" s="142"/>
      <c r="UW9" s="142"/>
      <c r="UX9" s="142"/>
      <c r="UY9" s="142"/>
      <c r="UZ9" s="142"/>
      <c r="VA9" s="142"/>
      <c r="VB9" s="142"/>
      <c r="VC9" s="142"/>
      <c r="VD9" s="142"/>
      <c r="VE9" s="142"/>
      <c r="VF9" s="142"/>
      <c r="VG9" s="142"/>
      <c r="VH9" s="142"/>
      <c r="VI9" s="142"/>
      <c r="VJ9" s="142"/>
      <c r="VK9" s="142"/>
      <c r="VL9" s="142"/>
      <c r="VM9" s="142"/>
      <c r="VN9" s="142"/>
      <c r="VO9" s="142"/>
      <c r="VP9" s="142"/>
      <c r="VQ9" s="142"/>
      <c r="VR9" s="142"/>
      <c r="VS9" s="142"/>
      <c r="VT9" s="142"/>
      <c r="VU9" s="142"/>
      <c r="VV9" s="142"/>
      <c r="VW9" s="142"/>
      <c r="VX9" s="142"/>
      <c r="VY9" s="142"/>
      <c r="VZ9" s="142"/>
      <c r="WA9" s="142"/>
      <c r="WB9" s="142"/>
      <c r="WC9" s="142"/>
      <c r="WD9" s="142"/>
      <c r="WE9" s="142"/>
      <c r="WF9" s="142"/>
      <c r="WG9" s="142"/>
      <c r="WH9" s="142"/>
      <c r="WI9" s="142"/>
      <c r="WJ9" s="142"/>
      <c r="WK9" s="142"/>
      <c r="WL9" s="142"/>
      <c r="WM9" s="142"/>
      <c r="WN9" s="142"/>
      <c r="WO9" s="142"/>
      <c r="WP9" s="142"/>
      <c r="WQ9" s="142"/>
      <c r="WR9" s="142"/>
      <c r="WS9" s="142"/>
      <c r="WT9" s="142"/>
      <c r="WU9" s="142"/>
      <c r="WV9" s="142"/>
    </row>
    <row r="10" spans="1:620" s="2" customFormat="1" ht="12.75" customHeight="1" x14ac:dyDescent="0.2">
      <c r="A10" s="22">
        <v>1</v>
      </c>
      <c r="B10" s="20" t="s">
        <v>24</v>
      </c>
      <c r="C10" s="146"/>
      <c r="D10" s="20"/>
      <c r="E10" s="20"/>
      <c r="F10" s="20"/>
      <c r="G10" s="20"/>
      <c r="H10" s="20"/>
      <c r="I10" s="20"/>
      <c r="J10" s="102"/>
      <c r="K10" s="20"/>
      <c r="L10" s="104"/>
      <c r="M10" s="104"/>
      <c r="N10" s="133"/>
      <c r="O10" s="138"/>
      <c r="P10" s="102"/>
      <c r="Q10" s="138"/>
      <c r="R10" s="133"/>
      <c r="S10" s="133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4"/>
      <c r="JW10" s="134"/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4"/>
      <c r="LP10" s="134"/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34"/>
      <c r="PH10" s="134"/>
      <c r="PI10" s="134"/>
      <c r="PJ10" s="134"/>
      <c r="PK10" s="134"/>
      <c r="PL10" s="134"/>
      <c r="PM10" s="134"/>
      <c r="PN10" s="134"/>
      <c r="PO10" s="134"/>
      <c r="PP10" s="134"/>
      <c r="PQ10" s="134"/>
      <c r="PR10" s="134"/>
      <c r="PS10" s="134"/>
      <c r="PT10" s="134"/>
      <c r="PU10" s="134"/>
      <c r="PV10" s="134"/>
      <c r="PW10" s="134"/>
      <c r="PX10" s="134"/>
      <c r="PY10" s="134"/>
      <c r="PZ10" s="134"/>
      <c r="QA10" s="134"/>
      <c r="QB10" s="134"/>
      <c r="QC10" s="134"/>
      <c r="QD10" s="134"/>
      <c r="QE10" s="134"/>
      <c r="QF10" s="134"/>
      <c r="QG10" s="134"/>
      <c r="QH10" s="134"/>
      <c r="QI10" s="134"/>
      <c r="QJ10" s="134"/>
      <c r="QK10" s="134"/>
      <c r="QL10" s="134"/>
      <c r="QM10" s="134"/>
      <c r="QN10" s="134"/>
      <c r="QO10" s="134"/>
      <c r="QP10" s="134"/>
      <c r="QQ10" s="134"/>
      <c r="QR10" s="134"/>
      <c r="QS10" s="134"/>
      <c r="QT10" s="134"/>
      <c r="QU10" s="134"/>
      <c r="QV10" s="134"/>
      <c r="QW10" s="134"/>
      <c r="QX10" s="134"/>
      <c r="QY10" s="134"/>
      <c r="QZ10" s="134"/>
      <c r="RA10" s="134"/>
      <c r="RB10" s="134"/>
      <c r="RC10" s="134"/>
      <c r="RD10" s="134"/>
      <c r="RE10" s="134"/>
      <c r="RF10" s="134"/>
      <c r="RG10" s="134"/>
      <c r="RH10" s="134"/>
      <c r="RI10" s="134"/>
      <c r="RJ10" s="134"/>
      <c r="RK10" s="134"/>
      <c r="RL10" s="134"/>
      <c r="RM10" s="134"/>
      <c r="RN10" s="134"/>
      <c r="RO10" s="134"/>
      <c r="RP10" s="134"/>
      <c r="RQ10" s="134"/>
      <c r="RR10" s="134"/>
      <c r="RS10" s="134"/>
      <c r="RT10" s="134"/>
      <c r="RU10" s="134"/>
      <c r="RV10" s="134"/>
      <c r="RW10" s="134"/>
      <c r="RX10" s="134"/>
      <c r="RY10" s="134"/>
      <c r="RZ10" s="134"/>
      <c r="SA10" s="134"/>
      <c r="SB10" s="134"/>
      <c r="SC10" s="134"/>
      <c r="SD10" s="134"/>
      <c r="SE10" s="134"/>
      <c r="SF10" s="134"/>
      <c r="SG10" s="134"/>
      <c r="SH10" s="134"/>
      <c r="SI10" s="134"/>
      <c r="SJ10" s="134"/>
      <c r="SK10" s="134"/>
      <c r="SL10" s="134"/>
      <c r="SM10" s="134"/>
      <c r="SN10" s="134"/>
      <c r="SO10" s="134"/>
      <c r="SP10" s="134"/>
      <c r="SQ10" s="134"/>
      <c r="SR10" s="134"/>
      <c r="SS10" s="134"/>
      <c r="ST10" s="134"/>
      <c r="SU10" s="134"/>
      <c r="SV10" s="134"/>
      <c r="SW10" s="134"/>
      <c r="SX10" s="134"/>
      <c r="SY10" s="134"/>
      <c r="SZ10" s="134"/>
      <c r="TA10" s="134"/>
      <c r="TB10" s="134"/>
      <c r="TC10" s="134"/>
      <c r="TD10" s="134"/>
      <c r="TE10" s="134"/>
      <c r="TF10" s="134"/>
      <c r="TG10" s="134"/>
      <c r="TH10" s="134"/>
      <c r="TI10" s="134"/>
      <c r="TJ10" s="134"/>
      <c r="TK10" s="134"/>
      <c r="TL10" s="134"/>
      <c r="TM10" s="142"/>
      <c r="TN10" s="142"/>
      <c r="TO10" s="142"/>
      <c r="TP10" s="142"/>
      <c r="TQ10" s="142"/>
      <c r="TR10" s="142"/>
      <c r="TS10" s="142"/>
      <c r="TT10" s="142"/>
      <c r="TU10" s="142"/>
      <c r="TV10" s="142"/>
      <c r="TW10" s="142"/>
      <c r="TX10" s="142"/>
      <c r="TY10" s="142"/>
      <c r="TZ10" s="142"/>
      <c r="UA10" s="142"/>
      <c r="UB10" s="142"/>
      <c r="UC10" s="142"/>
      <c r="UD10" s="142"/>
      <c r="UE10" s="142"/>
      <c r="UF10" s="142"/>
      <c r="UG10" s="142"/>
      <c r="UH10" s="142"/>
      <c r="UI10" s="142"/>
      <c r="UJ10" s="142"/>
      <c r="UK10" s="142"/>
      <c r="UL10" s="142"/>
      <c r="UM10" s="142"/>
      <c r="UN10" s="142"/>
      <c r="UO10" s="142"/>
      <c r="UP10" s="142"/>
      <c r="UQ10" s="142"/>
      <c r="UR10" s="142"/>
      <c r="US10" s="142"/>
      <c r="UT10" s="142"/>
      <c r="UU10" s="142"/>
      <c r="UV10" s="142"/>
      <c r="UW10" s="142"/>
      <c r="UX10" s="142"/>
      <c r="UY10" s="142"/>
      <c r="UZ10" s="142"/>
      <c r="VA10" s="142"/>
      <c r="VB10" s="142"/>
      <c r="VC10" s="142"/>
      <c r="VD10" s="142"/>
      <c r="VE10" s="142"/>
      <c r="VF10" s="142"/>
      <c r="VG10" s="142"/>
      <c r="VH10" s="142"/>
      <c r="VI10" s="142"/>
      <c r="VJ10" s="142"/>
      <c r="VK10" s="142"/>
      <c r="VL10" s="142"/>
      <c r="VM10" s="142"/>
      <c r="VN10" s="142"/>
      <c r="VO10" s="142"/>
      <c r="VP10" s="142"/>
      <c r="VQ10" s="142"/>
      <c r="VR10" s="142"/>
      <c r="VS10" s="142"/>
      <c r="VT10" s="142"/>
      <c r="VU10" s="142"/>
      <c r="VV10" s="142"/>
      <c r="VW10" s="142"/>
      <c r="VX10" s="142"/>
      <c r="VY10" s="142"/>
      <c r="VZ10" s="142"/>
      <c r="WA10" s="142"/>
      <c r="WB10" s="142"/>
      <c r="WC10" s="142"/>
      <c r="WD10" s="142"/>
      <c r="WE10" s="142"/>
      <c r="WF10" s="142"/>
      <c r="WG10" s="142"/>
      <c r="WH10" s="142"/>
      <c r="WI10" s="142"/>
      <c r="WJ10" s="142"/>
      <c r="WK10" s="142"/>
      <c r="WL10" s="142"/>
      <c r="WM10" s="142"/>
      <c r="WN10" s="142"/>
      <c r="WO10" s="142"/>
      <c r="WP10" s="142"/>
      <c r="WQ10" s="142"/>
      <c r="WR10" s="142"/>
      <c r="WS10" s="142"/>
      <c r="WT10" s="142"/>
      <c r="WU10" s="142"/>
      <c r="WV10" s="142"/>
    </row>
    <row r="11" spans="1:620" s="145" customFormat="1" ht="12.75" customHeight="1" x14ac:dyDescent="0.25">
      <c r="A11" s="152"/>
      <c r="B11" s="169" t="s">
        <v>205</v>
      </c>
      <c r="C11" s="169"/>
      <c r="D11" s="155"/>
      <c r="E11" s="153"/>
      <c r="F11" s="153"/>
      <c r="G11" s="153"/>
      <c r="H11" s="153"/>
      <c r="I11" s="153"/>
      <c r="J11" s="153"/>
      <c r="K11" s="153"/>
      <c r="L11" s="154"/>
      <c r="M11" s="154"/>
      <c r="N11" s="154"/>
      <c r="O11" s="162"/>
      <c r="P11" s="153"/>
      <c r="Q11" s="278"/>
      <c r="R11" s="153"/>
      <c r="S11" s="153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0"/>
      <c r="JW11" s="160"/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160"/>
      <c r="KW11" s="160"/>
      <c r="KX11" s="160"/>
      <c r="KY11" s="160"/>
      <c r="KZ11" s="160"/>
      <c r="LA11" s="160"/>
      <c r="LB11" s="160"/>
      <c r="LC11" s="160"/>
      <c r="LD11" s="160"/>
      <c r="LE11" s="160"/>
      <c r="LF11" s="160"/>
      <c r="LG11" s="160"/>
      <c r="LH11" s="160"/>
      <c r="LI11" s="160"/>
      <c r="LJ11" s="160"/>
      <c r="LK11" s="160"/>
      <c r="LL11" s="160"/>
      <c r="LM11" s="160"/>
      <c r="LN11" s="160"/>
      <c r="LO11" s="160"/>
      <c r="LP11" s="160"/>
      <c r="LQ11" s="160"/>
      <c r="LR11" s="160"/>
      <c r="LS11" s="160"/>
      <c r="LT11" s="160"/>
      <c r="LU11" s="160"/>
      <c r="LV11" s="160"/>
      <c r="LW11" s="160"/>
      <c r="LX11" s="160"/>
      <c r="LY11" s="160"/>
      <c r="LZ11" s="160"/>
      <c r="MA11" s="160"/>
      <c r="MB11" s="160"/>
      <c r="MC11" s="160"/>
      <c r="MD11" s="160"/>
      <c r="ME11" s="160"/>
      <c r="MF11" s="160"/>
      <c r="MG11" s="160"/>
      <c r="MH11" s="160"/>
      <c r="MI11" s="160"/>
      <c r="MJ11" s="160"/>
      <c r="MK11" s="160"/>
      <c r="ML11" s="160"/>
      <c r="MM11" s="160"/>
      <c r="MN11" s="160"/>
      <c r="MO11" s="160"/>
      <c r="MP11" s="160"/>
      <c r="MQ11" s="160"/>
      <c r="MR11" s="160"/>
      <c r="MS11" s="160"/>
      <c r="MT11" s="160"/>
      <c r="MU11" s="160"/>
      <c r="MV11" s="160"/>
      <c r="MW11" s="160"/>
      <c r="MX11" s="160"/>
      <c r="MY11" s="160"/>
      <c r="MZ11" s="160"/>
      <c r="NA11" s="160"/>
      <c r="NB11" s="160"/>
      <c r="NC11" s="160"/>
      <c r="ND11" s="160"/>
      <c r="NE11" s="160"/>
      <c r="NF11" s="160"/>
      <c r="NG11" s="160"/>
      <c r="NH11" s="160"/>
      <c r="NI11" s="160"/>
      <c r="NJ11" s="160"/>
      <c r="NK11" s="160"/>
      <c r="NL11" s="160"/>
      <c r="NM11" s="160"/>
      <c r="NN11" s="160"/>
      <c r="NO11" s="160"/>
      <c r="NP11" s="160"/>
      <c r="NQ11" s="160"/>
      <c r="NR11" s="160"/>
      <c r="NS11" s="160"/>
      <c r="NT11" s="160"/>
      <c r="NU11" s="160"/>
      <c r="NV11" s="160"/>
      <c r="NW11" s="160"/>
      <c r="NX11" s="160"/>
      <c r="NY11" s="160"/>
      <c r="NZ11" s="160"/>
      <c r="OA11" s="160"/>
      <c r="OB11" s="160"/>
      <c r="OC11" s="160"/>
      <c r="OD11" s="160"/>
      <c r="OE11" s="160"/>
      <c r="OF11" s="160"/>
      <c r="OG11" s="160"/>
      <c r="OH11" s="160"/>
      <c r="OI11" s="160"/>
      <c r="OJ11" s="160"/>
      <c r="OK11" s="160"/>
      <c r="OL11" s="160"/>
      <c r="OM11" s="160"/>
      <c r="ON11" s="160"/>
      <c r="OO11" s="160"/>
      <c r="OP11" s="160"/>
      <c r="OQ11" s="160"/>
      <c r="OR11" s="160"/>
      <c r="OS11" s="160"/>
      <c r="OT11" s="160"/>
      <c r="OU11" s="160"/>
      <c r="OV11" s="160"/>
      <c r="OW11" s="160"/>
      <c r="OX11" s="160"/>
      <c r="OY11" s="160"/>
      <c r="OZ11" s="160"/>
      <c r="PA11" s="160"/>
      <c r="PB11" s="160"/>
      <c r="PC11" s="160"/>
      <c r="PD11" s="160"/>
      <c r="PE11" s="160"/>
      <c r="PF11" s="160"/>
      <c r="PG11" s="160"/>
      <c r="PH11" s="160"/>
      <c r="PI11" s="160"/>
      <c r="PJ11" s="160"/>
      <c r="PK11" s="160"/>
      <c r="PL11" s="160"/>
      <c r="PM11" s="160"/>
      <c r="PN11" s="160"/>
      <c r="PO11" s="160"/>
      <c r="PP11" s="160"/>
      <c r="PQ11" s="160"/>
      <c r="PR11" s="160"/>
      <c r="PS11" s="160"/>
      <c r="PT11" s="160"/>
      <c r="PU11" s="160"/>
      <c r="PV11" s="160"/>
      <c r="PW11" s="160"/>
      <c r="PX11" s="160"/>
      <c r="PY11" s="160"/>
      <c r="PZ11" s="160"/>
      <c r="QA11" s="160"/>
      <c r="QB11" s="160"/>
      <c r="QC11" s="160"/>
      <c r="QD11" s="160"/>
      <c r="QE11" s="160"/>
      <c r="QF11" s="160"/>
      <c r="QG11" s="160"/>
      <c r="QH11" s="160"/>
      <c r="QI11" s="160"/>
      <c r="QJ11" s="160"/>
      <c r="QK11" s="160"/>
      <c r="QL11" s="160"/>
      <c r="QM11" s="160"/>
      <c r="QN11" s="160"/>
      <c r="QO11" s="160"/>
      <c r="QP11" s="160"/>
      <c r="QQ11" s="160"/>
      <c r="QR11" s="160"/>
      <c r="QS11" s="160"/>
      <c r="QT11" s="160"/>
      <c r="QU11" s="160"/>
      <c r="QV11" s="160"/>
      <c r="QW11" s="160"/>
      <c r="QX11" s="160"/>
      <c r="QY11" s="160"/>
      <c r="QZ11" s="160"/>
      <c r="RA11" s="160"/>
      <c r="RB11" s="160"/>
      <c r="RC11" s="160"/>
      <c r="RD11" s="160"/>
      <c r="RE11" s="160"/>
      <c r="RF11" s="160"/>
      <c r="RG11" s="160"/>
      <c r="RH11" s="160"/>
      <c r="RI11" s="160"/>
      <c r="RJ11" s="160"/>
      <c r="RK11" s="160"/>
      <c r="RL11" s="160"/>
      <c r="RM11" s="160"/>
      <c r="RN11" s="160"/>
      <c r="RO11" s="160"/>
      <c r="RP11" s="160"/>
      <c r="RQ11" s="160"/>
      <c r="RR11" s="160"/>
      <c r="RS11" s="160"/>
      <c r="RT11" s="160"/>
      <c r="RU11" s="160"/>
      <c r="RV11" s="160"/>
      <c r="RW11" s="160"/>
      <c r="RX11" s="160"/>
      <c r="RY11" s="160"/>
      <c r="RZ11" s="160"/>
      <c r="SA11" s="160"/>
      <c r="SB11" s="160"/>
      <c r="SC11" s="160"/>
      <c r="SD11" s="160"/>
      <c r="SE11" s="160"/>
      <c r="SF11" s="160"/>
      <c r="SG11" s="160"/>
      <c r="SH11" s="160"/>
      <c r="SI11" s="160"/>
      <c r="SJ11" s="160"/>
      <c r="SK11" s="160"/>
      <c r="SL11" s="160"/>
      <c r="SM11" s="160"/>
      <c r="SN11" s="160"/>
      <c r="SO11" s="160"/>
      <c r="SP11" s="160"/>
      <c r="SQ11" s="160"/>
      <c r="SR11" s="160"/>
      <c r="SS11" s="160"/>
      <c r="ST11" s="160"/>
      <c r="SU11" s="160"/>
      <c r="SV11" s="160"/>
      <c r="SW11" s="160"/>
      <c r="SX11" s="160"/>
      <c r="SY11" s="160"/>
      <c r="SZ11" s="160"/>
      <c r="TA11" s="160"/>
      <c r="TB11" s="160"/>
      <c r="TC11" s="160"/>
      <c r="TD11" s="160"/>
      <c r="TE11" s="160"/>
      <c r="TF11" s="160"/>
      <c r="TG11" s="160"/>
      <c r="TH11" s="160"/>
      <c r="TI11" s="160"/>
      <c r="TJ11" s="160"/>
      <c r="TK11" s="160"/>
      <c r="TL11" s="160"/>
      <c r="TM11" s="142"/>
      <c r="TN11" s="142"/>
      <c r="TO11" s="142"/>
      <c r="TP11" s="142"/>
      <c r="TQ11" s="142"/>
      <c r="TR11" s="142"/>
      <c r="TS11" s="142"/>
      <c r="TT11" s="142"/>
      <c r="TU11" s="142"/>
      <c r="TV11" s="142"/>
      <c r="TW11" s="142"/>
      <c r="TX11" s="142"/>
      <c r="TY11" s="142"/>
      <c r="TZ11" s="142"/>
      <c r="UA11" s="142"/>
      <c r="UB11" s="142"/>
      <c r="UC11" s="142"/>
      <c r="UD11" s="142"/>
      <c r="UE11" s="142"/>
      <c r="UF11" s="142"/>
      <c r="UG11" s="142"/>
      <c r="UH11" s="142"/>
      <c r="UI11" s="142"/>
      <c r="UJ11" s="142"/>
      <c r="UK11" s="142"/>
      <c r="UL11" s="142"/>
      <c r="UM11" s="142"/>
      <c r="UN11" s="142"/>
      <c r="UO11" s="142"/>
      <c r="UP11" s="142"/>
      <c r="UQ11" s="142"/>
      <c r="UR11" s="142"/>
      <c r="US11" s="142"/>
      <c r="UT11" s="142"/>
      <c r="UU11" s="142"/>
      <c r="UV11" s="142"/>
      <c r="UW11" s="142"/>
      <c r="UX11" s="142"/>
      <c r="UY11" s="142"/>
      <c r="UZ11" s="142"/>
      <c r="VA11" s="142"/>
      <c r="VB11" s="142"/>
      <c r="VC11" s="142"/>
      <c r="VD11" s="142"/>
      <c r="VE11" s="142"/>
      <c r="VF11" s="142"/>
      <c r="VG11" s="142"/>
      <c r="VH11" s="142"/>
      <c r="VI11" s="142"/>
      <c r="VJ11" s="142"/>
      <c r="VK11" s="142"/>
      <c r="VL11" s="142"/>
      <c r="VM11" s="142"/>
      <c r="VN11" s="142"/>
      <c r="VO11" s="142"/>
      <c r="VP11" s="142"/>
      <c r="VQ11" s="142"/>
      <c r="VR11" s="142"/>
      <c r="VS11" s="142"/>
      <c r="VT11" s="142"/>
      <c r="VU11" s="142"/>
      <c r="VV11" s="142"/>
      <c r="VW11" s="142"/>
      <c r="VX11" s="142"/>
      <c r="VY11" s="142"/>
      <c r="VZ11" s="142"/>
      <c r="WA11" s="142"/>
      <c r="WB11" s="142"/>
      <c r="WC11" s="142"/>
      <c r="WD11" s="142"/>
      <c r="WE11" s="142"/>
      <c r="WF11" s="142"/>
      <c r="WG11" s="142"/>
      <c r="WH11" s="142"/>
      <c r="WI11" s="142"/>
      <c r="WJ11" s="142"/>
      <c r="WK11" s="142"/>
      <c r="WL11" s="142"/>
      <c r="WM11" s="142"/>
      <c r="WN11" s="142"/>
      <c r="WO11" s="142"/>
      <c r="WP11" s="142"/>
      <c r="WQ11" s="142"/>
      <c r="WR11" s="142"/>
      <c r="WS11" s="142"/>
      <c r="WT11" s="142"/>
      <c r="WU11" s="142"/>
      <c r="WV11" s="142"/>
    </row>
    <row r="12" spans="1:620" s="166" customFormat="1" ht="12.75" customHeight="1" x14ac:dyDescent="0.25">
      <c r="A12" s="22" t="s">
        <v>122</v>
      </c>
      <c r="B12" s="307" t="s">
        <v>213</v>
      </c>
      <c r="C12" s="307"/>
      <c r="D12" s="308" t="s">
        <v>223</v>
      </c>
      <c r="E12" s="159" t="s">
        <v>224</v>
      </c>
      <c r="F12" s="159" t="s">
        <v>225</v>
      </c>
      <c r="G12" s="147">
        <v>925.13</v>
      </c>
      <c r="H12" s="147">
        <v>881.73</v>
      </c>
      <c r="I12" s="156">
        <v>2</v>
      </c>
      <c r="J12" s="156">
        <v>2</v>
      </c>
      <c r="K12" s="156">
        <v>17.260000000000002</v>
      </c>
      <c r="L12" s="157">
        <v>2</v>
      </c>
      <c r="M12" s="158">
        <v>231.51</v>
      </c>
      <c r="N12" s="309">
        <v>38.700000000000003</v>
      </c>
      <c r="O12" s="161">
        <v>0</v>
      </c>
      <c r="P12" s="159">
        <v>231.51</v>
      </c>
      <c r="Q12" s="161"/>
      <c r="R12" s="158">
        <v>192.81</v>
      </c>
      <c r="S12" s="158">
        <v>0</v>
      </c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</row>
    <row r="13" spans="1:620" s="166" customFormat="1" ht="12.75" customHeight="1" x14ac:dyDescent="0.25">
      <c r="A13" s="22" t="s">
        <v>122</v>
      </c>
      <c r="B13" s="307" t="s">
        <v>206</v>
      </c>
      <c r="C13" s="307"/>
      <c r="D13" s="308" t="s">
        <v>215</v>
      </c>
      <c r="E13" s="159" t="s">
        <v>214</v>
      </c>
      <c r="F13" s="159" t="s">
        <v>216</v>
      </c>
      <c r="G13" s="147">
        <v>1451.64</v>
      </c>
      <c r="H13" s="147">
        <v>1289.04</v>
      </c>
      <c r="I13" s="156">
        <v>2</v>
      </c>
      <c r="J13" s="156">
        <v>2</v>
      </c>
      <c r="K13" s="156">
        <v>17.260000000000002</v>
      </c>
      <c r="L13" s="157">
        <v>2</v>
      </c>
      <c r="M13" s="158">
        <v>301.60000000000002</v>
      </c>
      <c r="N13" s="309">
        <v>106.5</v>
      </c>
      <c r="O13" s="161">
        <v>25.3</v>
      </c>
      <c r="P13" s="159">
        <v>301.60000000000002</v>
      </c>
      <c r="Q13" s="161">
        <f>O13</f>
        <v>25.3</v>
      </c>
      <c r="R13" s="158">
        <v>195.1</v>
      </c>
      <c r="S13" s="158">
        <v>25.3</v>
      </c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</row>
    <row r="14" spans="1:620" s="166" customFormat="1" ht="12.75" customHeight="1" x14ac:dyDescent="0.25">
      <c r="A14" s="22" t="s">
        <v>122</v>
      </c>
      <c r="B14" s="307" t="s">
        <v>207</v>
      </c>
      <c r="C14" s="307"/>
      <c r="D14" s="308">
        <v>123.8</v>
      </c>
      <c r="E14" s="159">
        <v>9</v>
      </c>
      <c r="F14" s="159">
        <f t="shared" ref="F14" si="0">E14-1</f>
        <v>8</v>
      </c>
      <c r="G14" s="147">
        <v>1114.2</v>
      </c>
      <c r="H14" s="147">
        <f>F14*D14</f>
        <v>990.4</v>
      </c>
      <c r="I14" s="156">
        <v>1</v>
      </c>
      <c r="J14" s="156">
        <v>1</v>
      </c>
      <c r="K14" s="156">
        <v>17.260000000000002</v>
      </c>
      <c r="L14" s="157">
        <v>2</v>
      </c>
      <c r="M14" s="158">
        <v>247.6</v>
      </c>
      <c r="N14" s="309">
        <v>179.6</v>
      </c>
      <c r="O14" s="161">
        <v>0</v>
      </c>
      <c r="P14" s="159">
        <f t="shared" ref="P14" si="1">D14*2</f>
        <v>247.6</v>
      </c>
      <c r="Q14" s="161">
        <f>O14</f>
        <v>0</v>
      </c>
      <c r="R14" s="158">
        <v>68</v>
      </c>
      <c r="S14" s="158">
        <v>0</v>
      </c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</row>
    <row r="15" spans="1:620" s="166" customFormat="1" ht="12.75" customHeight="1" x14ac:dyDescent="0.25">
      <c r="A15" s="22"/>
      <c r="B15" s="307"/>
      <c r="C15" s="307"/>
      <c r="D15" s="308"/>
      <c r="E15" s="159"/>
      <c r="F15" s="159"/>
      <c r="G15" s="147">
        <f t="shared" ref="G15" si="2">D15*E15</f>
        <v>0</v>
      </c>
      <c r="H15" s="147">
        <f t="shared" ref="H15" si="3">F15*D15</f>
        <v>0</v>
      </c>
      <c r="I15" s="156"/>
      <c r="J15" s="156"/>
      <c r="K15" s="156"/>
      <c r="L15" s="157"/>
      <c r="M15" s="158"/>
      <c r="N15" s="309"/>
      <c r="O15" s="161"/>
      <c r="P15" s="159"/>
      <c r="Q15" s="161"/>
      <c r="R15" s="158"/>
      <c r="S15" s="158">
        <v>0</v>
      </c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</row>
    <row r="16" spans="1:620" s="166" customFormat="1" ht="12.75" customHeight="1" x14ac:dyDescent="0.2">
      <c r="A16" s="22"/>
      <c r="B16" s="310"/>
      <c r="C16" s="310"/>
      <c r="D16" s="308"/>
      <c r="E16" s="159"/>
      <c r="F16" s="159"/>
      <c r="G16" s="147">
        <f t="shared" ref="G16" si="4">D16*E16</f>
        <v>0</v>
      </c>
      <c r="H16" s="147">
        <f t="shared" ref="H16" si="5">F16*D16</f>
        <v>0</v>
      </c>
      <c r="I16" s="156"/>
      <c r="J16" s="156"/>
      <c r="K16" s="156"/>
      <c r="L16" s="157"/>
      <c r="M16" s="158"/>
      <c r="N16" s="309"/>
      <c r="O16" s="161"/>
      <c r="P16" s="159"/>
      <c r="Q16" s="161"/>
      <c r="R16" s="158"/>
      <c r="S16" s="158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</row>
    <row r="17" spans="1:620" s="163" customFormat="1" ht="12.75" customHeight="1" x14ac:dyDescent="0.2">
      <c r="A17" s="151"/>
      <c r="B17" s="167"/>
      <c r="C17" s="167"/>
      <c r="D17" s="168"/>
      <c r="E17" s="159"/>
      <c r="F17" s="159"/>
      <c r="G17" s="147"/>
      <c r="H17" s="147"/>
      <c r="I17" s="156"/>
      <c r="J17" s="156"/>
      <c r="K17" s="156"/>
      <c r="L17" s="157"/>
      <c r="M17" s="158"/>
      <c r="N17" s="158"/>
      <c r="O17" s="161"/>
      <c r="P17" s="159"/>
      <c r="Q17" s="161"/>
      <c r="R17" s="158"/>
      <c r="S17" s="158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  <c r="IN17" s="160"/>
      <c r="IO17" s="160"/>
      <c r="IP17" s="160"/>
      <c r="IQ17" s="160"/>
      <c r="IR17" s="160"/>
      <c r="IS17" s="160"/>
      <c r="IT17" s="160"/>
      <c r="IU17" s="160"/>
      <c r="IV17" s="160"/>
      <c r="IW17" s="160"/>
      <c r="IX17" s="160"/>
      <c r="IY17" s="160"/>
      <c r="IZ17" s="160"/>
      <c r="JA17" s="160"/>
      <c r="JB17" s="160"/>
      <c r="JC17" s="160"/>
      <c r="JD17" s="160"/>
      <c r="JE17" s="160"/>
      <c r="JF17" s="160"/>
      <c r="JG17" s="160"/>
      <c r="JH17" s="160"/>
      <c r="JI17" s="160"/>
      <c r="JJ17" s="160"/>
      <c r="JK17" s="160"/>
      <c r="JL17" s="160"/>
      <c r="JM17" s="160"/>
      <c r="JN17" s="160"/>
      <c r="JO17" s="160"/>
      <c r="JP17" s="160"/>
      <c r="JQ17" s="160"/>
      <c r="JR17" s="160"/>
      <c r="JS17" s="160"/>
      <c r="JT17" s="160"/>
      <c r="JU17" s="160"/>
      <c r="JV17" s="160"/>
      <c r="JW17" s="160"/>
      <c r="JX17" s="160"/>
      <c r="JY17" s="160"/>
      <c r="JZ17" s="160"/>
      <c r="KA17" s="160"/>
      <c r="KB17" s="160"/>
      <c r="KC17" s="160"/>
      <c r="KD17" s="160"/>
      <c r="KE17" s="160"/>
      <c r="KF17" s="160"/>
      <c r="KG17" s="160"/>
      <c r="KH17" s="160"/>
      <c r="KI17" s="160"/>
      <c r="KJ17" s="160"/>
      <c r="KK17" s="160"/>
      <c r="KL17" s="160"/>
      <c r="KM17" s="160"/>
      <c r="KN17" s="160"/>
      <c r="KO17" s="160"/>
      <c r="KP17" s="160"/>
      <c r="KQ17" s="160"/>
      <c r="KR17" s="160"/>
      <c r="KS17" s="160"/>
      <c r="KT17" s="160"/>
      <c r="KU17" s="160"/>
      <c r="KV17" s="160"/>
      <c r="KW17" s="160"/>
      <c r="KX17" s="160"/>
      <c r="KY17" s="160"/>
      <c r="KZ17" s="160"/>
      <c r="LA17" s="160"/>
      <c r="LB17" s="160"/>
      <c r="LC17" s="160"/>
      <c r="LD17" s="160"/>
      <c r="LE17" s="160"/>
      <c r="LF17" s="160"/>
      <c r="LG17" s="160"/>
      <c r="LH17" s="160"/>
      <c r="LI17" s="160"/>
      <c r="LJ17" s="160"/>
      <c r="LK17" s="160"/>
      <c r="LL17" s="160"/>
      <c r="LM17" s="160"/>
      <c r="LN17" s="160"/>
      <c r="LO17" s="160"/>
      <c r="LP17" s="160"/>
      <c r="LQ17" s="160"/>
      <c r="LR17" s="160"/>
      <c r="LS17" s="160"/>
      <c r="LT17" s="160"/>
      <c r="LU17" s="160"/>
      <c r="LV17" s="160"/>
      <c r="LW17" s="160"/>
      <c r="LX17" s="160"/>
      <c r="LY17" s="160"/>
      <c r="LZ17" s="160"/>
      <c r="MA17" s="160"/>
      <c r="MB17" s="160"/>
      <c r="MC17" s="160"/>
      <c r="MD17" s="160"/>
      <c r="ME17" s="160"/>
      <c r="MF17" s="160"/>
      <c r="MG17" s="160"/>
      <c r="MH17" s="160"/>
      <c r="MI17" s="160"/>
      <c r="MJ17" s="160"/>
      <c r="MK17" s="160"/>
      <c r="ML17" s="160"/>
      <c r="MM17" s="160"/>
      <c r="MN17" s="160"/>
      <c r="MO17" s="160"/>
      <c r="MP17" s="160"/>
      <c r="MQ17" s="160"/>
      <c r="MR17" s="160"/>
      <c r="MS17" s="160"/>
      <c r="MT17" s="160"/>
      <c r="MU17" s="160"/>
      <c r="MV17" s="160"/>
      <c r="MW17" s="160"/>
      <c r="MX17" s="160"/>
      <c r="MY17" s="160"/>
      <c r="MZ17" s="160"/>
      <c r="NA17" s="160"/>
      <c r="NB17" s="160"/>
      <c r="NC17" s="160"/>
      <c r="ND17" s="160"/>
      <c r="NE17" s="160"/>
      <c r="NF17" s="160"/>
      <c r="NG17" s="160"/>
      <c r="NH17" s="160"/>
      <c r="NI17" s="160"/>
      <c r="NJ17" s="160"/>
      <c r="NK17" s="160"/>
      <c r="NL17" s="160"/>
      <c r="NM17" s="160"/>
      <c r="NN17" s="160"/>
      <c r="NO17" s="160"/>
      <c r="NP17" s="160"/>
      <c r="NQ17" s="160"/>
      <c r="NR17" s="160"/>
      <c r="NS17" s="160"/>
      <c r="NT17" s="160"/>
      <c r="NU17" s="160"/>
      <c r="NV17" s="160"/>
      <c r="NW17" s="160"/>
      <c r="NX17" s="160"/>
      <c r="NY17" s="160"/>
      <c r="NZ17" s="160"/>
      <c r="OA17" s="160"/>
      <c r="OB17" s="160"/>
      <c r="OC17" s="160"/>
      <c r="OD17" s="160"/>
      <c r="OE17" s="160"/>
      <c r="OF17" s="160"/>
      <c r="OG17" s="160"/>
      <c r="OH17" s="160"/>
      <c r="OI17" s="160"/>
      <c r="OJ17" s="160"/>
      <c r="OK17" s="160"/>
      <c r="OL17" s="160"/>
      <c r="OM17" s="160"/>
      <c r="ON17" s="160"/>
      <c r="OO17" s="160"/>
      <c r="OP17" s="160"/>
      <c r="OQ17" s="160"/>
      <c r="OR17" s="160"/>
      <c r="OS17" s="160"/>
      <c r="OT17" s="160"/>
      <c r="OU17" s="160"/>
      <c r="OV17" s="160"/>
      <c r="OW17" s="160"/>
      <c r="OX17" s="160"/>
      <c r="OY17" s="160"/>
      <c r="OZ17" s="160"/>
      <c r="PA17" s="160"/>
      <c r="PB17" s="160"/>
      <c r="PC17" s="160"/>
      <c r="PD17" s="160"/>
      <c r="PE17" s="160"/>
      <c r="PF17" s="160"/>
      <c r="PG17" s="160"/>
      <c r="PH17" s="160"/>
      <c r="PI17" s="160"/>
      <c r="PJ17" s="160"/>
      <c r="PK17" s="160"/>
      <c r="PL17" s="160"/>
      <c r="PM17" s="160"/>
      <c r="PN17" s="160"/>
      <c r="PO17" s="160"/>
      <c r="PP17" s="160"/>
      <c r="PQ17" s="160"/>
      <c r="PR17" s="160"/>
      <c r="PS17" s="160"/>
      <c r="PT17" s="160"/>
      <c r="PU17" s="160"/>
      <c r="PV17" s="160"/>
      <c r="PW17" s="160"/>
      <c r="PX17" s="160"/>
      <c r="PY17" s="160"/>
      <c r="PZ17" s="160"/>
      <c r="QA17" s="160"/>
      <c r="QB17" s="160"/>
      <c r="QC17" s="160"/>
      <c r="QD17" s="160"/>
      <c r="QE17" s="160"/>
      <c r="QF17" s="160"/>
      <c r="QG17" s="160"/>
      <c r="QH17" s="160"/>
      <c r="QI17" s="160"/>
      <c r="QJ17" s="160"/>
      <c r="QK17" s="160"/>
      <c r="QL17" s="160"/>
      <c r="QM17" s="160"/>
      <c r="QN17" s="160"/>
      <c r="QO17" s="160"/>
      <c r="QP17" s="160"/>
      <c r="QQ17" s="160"/>
      <c r="QR17" s="160"/>
      <c r="QS17" s="160"/>
      <c r="QT17" s="160"/>
      <c r="QU17" s="160"/>
      <c r="QV17" s="160"/>
      <c r="QW17" s="160"/>
      <c r="QX17" s="160"/>
      <c r="QY17" s="160"/>
      <c r="QZ17" s="160"/>
      <c r="RA17" s="160"/>
      <c r="RB17" s="160"/>
      <c r="RC17" s="160"/>
      <c r="RD17" s="160"/>
      <c r="RE17" s="160"/>
      <c r="RF17" s="160"/>
      <c r="RG17" s="160"/>
      <c r="RH17" s="160"/>
      <c r="RI17" s="160"/>
      <c r="RJ17" s="160"/>
      <c r="RK17" s="160"/>
      <c r="RL17" s="160"/>
      <c r="RM17" s="160"/>
      <c r="RN17" s="160"/>
      <c r="RO17" s="160"/>
      <c r="RP17" s="160"/>
      <c r="RQ17" s="160"/>
      <c r="RR17" s="160"/>
      <c r="RS17" s="160"/>
      <c r="RT17" s="160"/>
      <c r="RU17" s="160"/>
      <c r="RV17" s="160"/>
      <c r="RW17" s="160"/>
      <c r="RX17" s="160"/>
      <c r="RY17" s="160"/>
      <c r="RZ17" s="160"/>
      <c r="SA17" s="160"/>
      <c r="SB17" s="160"/>
      <c r="SC17" s="160"/>
      <c r="SD17" s="160"/>
      <c r="SE17" s="160"/>
      <c r="SF17" s="160"/>
      <c r="SG17" s="160"/>
      <c r="SH17" s="160"/>
      <c r="SI17" s="160"/>
      <c r="SJ17" s="160"/>
      <c r="SK17" s="160"/>
      <c r="SL17" s="160"/>
      <c r="SM17" s="160"/>
      <c r="SN17" s="160"/>
      <c r="SO17" s="160"/>
      <c r="SP17" s="160"/>
      <c r="SQ17" s="160"/>
      <c r="SR17" s="160"/>
      <c r="SS17" s="160"/>
      <c r="ST17" s="160"/>
      <c r="SU17" s="160"/>
      <c r="SV17" s="160"/>
      <c r="SW17" s="160"/>
      <c r="SX17" s="160"/>
      <c r="SY17" s="160"/>
      <c r="SZ17" s="160"/>
      <c r="TA17" s="160"/>
      <c r="TB17" s="160"/>
      <c r="TC17" s="160"/>
      <c r="TD17" s="160"/>
      <c r="TE17" s="160"/>
      <c r="TF17" s="160"/>
      <c r="TG17" s="160"/>
      <c r="TH17" s="160"/>
      <c r="TI17" s="160"/>
      <c r="TJ17" s="160"/>
      <c r="TK17" s="160"/>
      <c r="TL17" s="160"/>
      <c r="TM17" s="160"/>
      <c r="TN17" s="160"/>
      <c r="TO17" s="160"/>
      <c r="TP17" s="160"/>
      <c r="TQ17" s="160"/>
      <c r="TR17" s="160"/>
      <c r="TS17" s="160"/>
      <c r="TT17" s="160"/>
      <c r="TU17" s="160"/>
      <c r="TV17" s="160"/>
      <c r="TW17" s="160"/>
      <c r="TX17" s="160"/>
      <c r="TY17" s="160"/>
      <c r="TZ17" s="160"/>
      <c r="UA17" s="160"/>
      <c r="UB17" s="160"/>
      <c r="UC17" s="160"/>
      <c r="UD17" s="160"/>
      <c r="UE17" s="160"/>
      <c r="UF17" s="160"/>
      <c r="UG17" s="160"/>
      <c r="UH17" s="160"/>
      <c r="UI17" s="160"/>
      <c r="UJ17" s="160"/>
      <c r="UK17" s="160"/>
      <c r="UL17" s="160"/>
      <c r="UM17" s="160"/>
      <c r="UN17" s="160"/>
      <c r="UO17" s="160"/>
      <c r="UP17" s="160"/>
      <c r="UQ17" s="160"/>
      <c r="UR17" s="160"/>
      <c r="US17" s="160"/>
      <c r="UT17" s="160"/>
      <c r="UU17" s="160"/>
      <c r="UV17" s="160"/>
      <c r="UW17" s="160"/>
      <c r="UX17" s="160"/>
      <c r="UY17" s="160"/>
      <c r="UZ17" s="160"/>
      <c r="VA17" s="160"/>
      <c r="VB17" s="160"/>
      <c r="VC17" s="160"/>
      <c r="VD17" s="160"/>
      <c r="VE17" s="160"/>
      <c r="VF17" s="160"/>
      <c r="VG17" s="160"/>
      <c r="VH17" s="160"/>
      <c r="VI17" s="160"/>
      <c r="VJ17" s="160"/>
      <c r="VK17" s="160"/>
      <c r="VL17" s="160"/>
      <c r="VM17" s="160"/>
      <c r="VN17" s="160"/>
      <c r="VO17" s="160"/>
      <c r="VP17" s="160"/>
      <c r="VQ17" s="160"/>
      <c r="VR17" s="160"/>
      <c r="VS17" s="160"/>
      <c r="VT17" s="160"/>
      <c r="VU17" s="160"/>
      <c r="VV17" s="160"/>
      <c r="VW17" s="160"/>
      <c r="VX17" s="160"/>
      <c r="VY17" s="160"/>
      <c r="VZ17" s="160"/>
      <c r="WA17" s="160"/>
      <c r="WB17" s="160"/>
      <c r="WC17" s="160"/>
      <c r="WD17" s="160"/>
      <c r="WE17" s="160"/>
      <c r="WF17" s="160"/>
      <c r="WG17" s="160"/>
      <c r="WH17" s="160"/>
      <c r="WI17" s="160"/>
      <c r="WJ17" s="160"/>
      <c r="WK17" s="160"/>
      <c r="WL17" s="160"/>
      <c r="WM17" s="160"/>
      <c r="WN17" s="160"/>
      <c r="WO17" s="160"/>
      <c r="WP17" s="160"/>
      <c r="WQ17" s="160"/>
      <c r="WR17" s="160"/>
      <c r="WS17" s="160"/>
      <c r="WT17" s="160"/>
      <c r="WU17" s="160"/>
      <c r="WV17" s="160"/>
    </row>
    <row r="18" spans="1:620" ht="12.75" customHeight="1" x14ac:dyDescent="0.2">
      <c r="A18" s="601" t="s">
        <v>8</v>
      </c>
      <c r="B18" s="602"/>
      <c r="C18" s="602"/>
      <c r="D18" s="603"/>
      <c r="E18" s="607" t="s">
        <v>8</v>
      </c>
      <c r="F18" s="608"/>
      <c r="G18" s="42">
        <f t="shared" ref="G18:M18" si="6">SUM(G12:G17)</f>
        <v>3490.9700000000003</v>
      </c>
      <c r="H18" s="164">
        <f t="shared" si="6"/>
        <v>3161.17</v>
      </c>
      <c r="I18" s="164">
        <f t="shared" si="6"/>
        <v>5</v>
      </c>
      <c r="J18" s="164">
        <f t="shared" si="6"/>
        <v>5</v>
      </c>
      <c r="K18" s="265">
        <f t="shared" si="6"/>
        <v>51.78</v>
      </c>
      <c r="L18" s="148">
        <f t="shared" si="6"/>
        <v>6</v>
      </c>
      <c r="M18" s="265">
        <f t="shared" si="6"/>
        <v>780.71</v>
      </c>
      <c r="N18" s="266">
        <f>SUM(N11:N17)</f>
        <v>324.79999999999995</v>
      </c>
      <c r="O18" s="265">
        <f t="shared" ref="O18:Q18" si="7">SUM(O11:O17)</f>
        <v>25.3</v>
      </c>
      <c r="P18" s="164">
        <f>SUM(P12:P17)</f>
        <v>780.71</v>
      </c>
      <c r="Q18" s="293">
        <f t="shared" si="7"/>
        <v>25.3</v>
      </c>
      <c r="R18" s="267">
        <f>SUM(R12:R17)</f>
        <v>455.90999999999997</v>
      </c>
      <c r="S18" s="267">
        <f>SUM(S13:S17)</f>
        <v>25.3</v>
      </c>
    </row>
    <row r="19" spans="1:620" ht="13.5" thickBot="1" x14ac:dyDescent="0.25">
      <c r="A19" s="604"/>
      <c r="B19" s="605"/>
      <c r="C19" s="605"/>
      <c r="D19" s="606"/>
      <c r="E19" s="599"/>
      <c r="F19" s="600"/>
      <c r="G19" s="170"/>
      <c r="H19" s="45"/>
      <c r="I19" s="171"/>
      <c r="J19" s="45"/>
      <c r="K19" s="170"/>
      <c r="L19" s="45"/>
      <c r="M19" s="592" t="s">
        <v>117</v>
      </c>
      <c r="N19" s="593"/>
      <c r="O19" s="304">
        <f>M18-N18-O18</f>
        <v>430.61000000000007</v>
      </c>
      <c r="P19" s="267" t="s">
        <v>119</v>
      </c>
      <c r="Q19" s="274">
        <f>P18-Q18</f>
        <v>755.41000000000008</v>
      </c>
      <c r="R19" s="267" t="s">
        <v>202</v>
      </c>
      <c r="S19" s="274">
        <f>R18-S18</f>
        <v>430.60999999999996</v>
      </c>
    </row>
    <row r="21" spans="1:620" ht="15.75" x14ac:dyDescent="0.25">
      <c r="D21" s="132" t="s">
        <v>222</v>
      </c>
      <c r="L21" s="130"/>
      <c r="N21" s="25"/>
      <c r="O21" s="25"/>
      <c r="P21" s="25"/>
      <c r="Q21" s="25"/>
      <c r="R21" s="25"/>
      <c r="S21" s="25"/>
    </row>
    <row r="22" spans="1:620" ht="15.75" x14ac:dyDescent="0.25">
      <c r="B22" s="132"/>
      <c r="C22" s="132"/>
      <c r="D22" s="132" t="s">
        <v>221</v>
      </c>
      <c r="L22" s="130"/>
      <c r="N22" s="26"/>
      <c r="O22" s="26"/>
      <c r="P22" s="26"/>
      <c r="Q22" s="26"/>
      <c r="R22" s="26"/>
      <c r="S22" s="26"/>
    </row>
    <row r="23" spans="1:620" x14ac:dyDescent="0.2">
      <c r="D23" s="132" t="s">
        <v>220</v>
      </c>
      <c r="N23" s="131"/>
      <c r="O23" s="131"/>
      <c r="Q23" s="131"/>
      <c r="R23" s="131"/>
      <c r="S23" s="131"/>
    </row>
    <row r="24" spans="1:620" ht="15.75" x14ac:dyDescent="0.25">
      <c r="D24" s="144"/>
      <c r="L24" s="130"/>
    </row>
    <row r="25" spans="1:620" ht="15.75" x14ac:dyDescent="0.25">
      <c r="D25" s="144"/>
      <c r="L25" s="130"/>
    </row>
    <row r="26" spans="1:620" x14ac:dyDescent="0.2">
      <c r="D26" s="144"/>
    </row>
    <row r="32" spans="1:620" x14ac:dyDescent="0.2">
      <c r="D32" s="144"/>
    </row>
    <row r="33" spans="4:4" x14ac:dyDescent="0.2">
      <c r="D33" s="144"/>
    </row>
    <row r="34" spans="4:4" x14ac:dyDescent="0.2">
      <c r="D34" s="144"/>
    </row>
    <row r="35" spans="4:4" x14ac:dyDescent="0.2">
      <c r="D35" s="144"/>
    </row>
    <row r="36" spans="4:4" x14ac:dyDescent="0.2">
      <c r="D36" s="144"/>
    </row>
    <row r="37" spans="4:4" x14ac:dyDescent="0.2">
      <c r="D37" s="144"/>
    </row>
    <row r="38" spans="4:4" x14ac:dyDescent="0.2">
      <c r="D38" s="144"/>
    </row>
    <row r="39" spans="4:4" x14ac:dyDescent="0.2">
      <c r="D39" s="144"/>
    </row>
  </sheetData>
  <mergeCells count="7">
    <mergeCell ref="M19:N19"/>
    <mergeCell ref="A1:J1"/>
    <mergeCell ref="A7:J7"/>
    <mergeCell ref="B3:F3"/>
    <mergeCell ref="E19:F19"/>
    <mergeCell ref="A18:D19"/>
    <mergeCell ref="E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0" workbookViewId="0">
      <selection activeCell="G20" sqref="G20"/>
    </sheetView>
  </sheetViews>
  <sheetFormatPr defaultRowHeight="12.75" x14ac:dyDescent="0.2"/>
  <cols>
    <col min="2" max="2" width="32.28515625" customWidth="1"/>
    <col min="3" max="3" width="13.28515625" customWidth="1"/>
    <col min="4" max="4" width="12" customWidth="1"/>
    <col min="5" max="5" width="17" customWidth="1"/>
    <col min="6" max="6" width="15.140625" customWidth="1"/>
    <col min="7" max="7" width="17.5703125" customWidth="1"/>
    <col min="8" max="8" width="14.42578125" customWidth="1"/>
  </cols>
  <sheetData>
    <row r="1" spans="1:8" ht="26.25" thickBot="1" x14ac:dyDescent="0.25">
      <c r="A1" s="609" t="s">
        <v>229</v>
      </c>
      <c r="B1" s="610"/>
      <c r="C1" s="610"/>
      <c r="D1" s="610"/>
      <c r="E1" s="610"/>
      <c r="F1" s="610"/>
      <c r="G1" s="610"/>
      <c r="H1" s="611"/>
    </row>
    <row r="2" spans="1:8" x14ac:dyDescent="0.2">
      <c r="A2" s="612" t="s">
        <v>230</v>
      </c>
      <c r="B2" s="613"/>
      <c r="C2" s="613"/>
      <c r="D2" s="613"/>
      <c r="E2" s="614"/>
      <c r="F2" s="615"/>
      <c r="G2" s="616"/>
      <c r="H2" s="617"/>
    </row>
    <row r="3" spans="1:8" x14ac:dyDescent="0.2">
      <c r="A3" s="618" t="s">
        <v>94</v>
      </c>
      <c r="B3" s="619"/>
      <c r="C3" s="619"/>
      <c r="D3" s="619"/>
      <c r="E3" s="620"/>
      <c r="F3" s="621"/>
      <c r="G3" s="622"/>
      <c r="H3" s="623"/>
    </row>
    <row r="4" spans="1:8" x14ac:dyDescent="0.2">
      <c r="A4" s="624" t="s">
        <v>252</v>
      </c>
      <c r="B4" s="625"/>
      <c r="C4" s="625"/>
      <c r="D4" s="626"/>
      <c r="E4" s="627"/>
      <c r="F4" s="628"/>
      <c r="G4" s="628"/>
      <c r="H4" s="629"/>
    </row>
    <row r="5" spans="1:8" x14ac:dyDescent="0.2">
      <c r="A5" s="624" t="s">
        <v>231</v>
      </c>
      <c r="B5" s="625"/>
      <c r="C5" s="625"/>
      <c r="D5" s="626"/>
      <c r="E5" s="630"/>
      <c r="F5" s="631"/>
      <c r="G5" s="632"/>
      <c r="H5" s="633"/>
    </row>
    <row r="6" spans="1:8" ht="13.5" thickBot="1" x14ac:dyDescent="0.25">
      <c r="A6" s="634" t="s">
        <v>232</v>
      </c>
      <c r="B6" s="635"/>
      <c r="C6" s="635"/>
      <c r="D6" s="636"/>
      <c r="E6" s="637"/>
      <c r="F6" s="638"/>
      <c r="G6" s="639"/>
      <c r="H6" s="640"/>
    </row>
    <row r="7" spans="1:8" ht="15" x14ac:dyDescent="0.2">
      <c r="A7" s="641"/>
      <c r="B7" s="642"/>
      <c r="C7" s="643"/>
      <c r="D7" s="641"/>
      <c r="E7" s="642"/>
      <c r="F7" s="643"/>
      <c r="G7" s="641"/>
      <c r="H7" s="643"/>
    </row>
    <row r="8" spans="1:8" ht="15" x14ac:dyDescent="0.2">
      <c r="A8" s="644"/>
      <c r="B8" s="645"/>
      <c r="C8" s="645"/>
      <c r="D8" s="645"/>
      <c r="E8" s="645"/>
      <c r="F8" s="645"/>
      <c r="G8" s="645"/>
      <c r="H8" s="646"/>
    </row>
    <row r="9" spans="1:8" x14ac:dyDescent="0.2">
      <c r="A9" s="647"/>
      <c r="B9" s="647"/>
      <c r="C9" s="648"/>
      <c r="D9" s="648"/>
      <c r="E9" s="648"/>
      <c r="F9" s="647"/>
      <c r="G9" s="647"/>
      <c r="H9" s="647"/>
    </row>
    <row r="10" spans="1:8" x14ac:dyDescent="0.2">
      <c r="A10" s="649" t="s">
        <v>233</v>
      </c>
      <c r="B10" s="649" t="s">
        <v>234</v>
      </c>
      <c r="C10" s="650" t="s">
        <v>235</v>
      </c>
      <c r="D10" s="650" t="s">
        <v>236</v>
      </c>
      <c r="E10" s="651" t="s">
        <v>237</v>
      </c>
      <c r="F10" s="652" t="s">
        <v>238</v>
      </c>
      <c r="G10" s="653"/>
      <c r="H10" s="653"/>
    </row>
    <row r="11" spans="1:8" x14ac:dyDescent="0.2">
      <c r="A11" s="654"/>
      <c r="B11" s="654"/>
      <c r="C11" s="655" t="s">
        <v>239</v>
      </c>
      <c r="D11" s="655" t="s">
        <v>240</v>
      </c>
      <c r="E11" s="655" t="s">
        <v>241</v>
      </c>
      <c r="F11" s="656" t="s">
        <v>242</v>
      </c>
      <c r="G11" s="656" t="s">
        <v>243</v>
      </c>
      <c r="H11" s="656" t="s">
        <v>244</v>
      </c>
    </row>
    <row r="12" spans="1:8" ht="14.25" x14ac:dyDescent="0.2">
      <c r="A12" s="657" t="s">
        <v>242</v>
      </c>
      <c r="B12" s="658" t="s">
        <v>93</v>
      </c>
      <c r="C12" s="659">
        <v>978.9</v>
      </c>
      <c r="D12" s="660">
        <f>C12/C32</f>
        <v>4.0103726451043891E-3</v>
      </c>
      <c r="E12" s="661" t="s">
        <v>237</v>
      </c>
      <c r="F12" s="662">
        <v>1</v>
      </c>
      <c r="G12" s="662"/>
      <c r="H12" s="662"/>
    </row>
    <row r="13" spans="1:8" ht="15" x14ac:dyDescent="0.2">
      <c r="A13" s="663"/>
      <c r="B13" s="664"/>
      <c r="C13" s="665"/>
      <c r="D13" s="666"/>
      <c r="E13" s="661" t="s">
        <v>241</v>
      </c>
      <c r="F13" s="667">
        <f>C12</f>
        <v>978.9</v>
      </c>
      <c r="G13" s="667"/>
      <c r="H13" s="667"/>
    </row>
    <row r="14" spans="1:8" ht="14.25" x14ac:dyDescent="0.2">
      <c r="A14" s="668" t="s">
        <v>243</v>
      </c>
      <c r="B14" s="669" t="s">
        <v>253</v>
      </c>
      <c r="C14" s="659">
        <v>172112.57</v>
      </c>
      <c r="D14" s="660">
        <f>C14/C32</f>
        <v>0.70511343610850385</v>
      </c>
      <c r="E14" s="661" t="s">
        <v>237</v>
      </c>
      <c r="F14" s="662">
        <v>0.41</v>
      </c>
      <c r="G14" s="662">
        <v>0.59</v>
      </c>
      <c r="H14" s="662"/>
    </row>
    <row r="15" spans="1:8" ht="15" x14ac:dyDescent="0.2">
      <c r="A15" s="670"/>
      <c r="B15" s="671"/>
      <c r="C15" s="665"/>
      <c r="D15" s="666"/>
      <c r="E15" s="661" t="s">
        <v>241</v>
      </c>
      <c r="F15" s="667">
        <f>C14*F14</f>
        <v>70566.153699999995</v>
      </c>
      <c r="G15" s="667">
        <f>C14*G14</f>
        <v>101546.4163</v>
      </c>
      <c r="H15" s="667"/>
    </row>
    <row r="16" spans="1:8" ht="14.25" x14ac:dyDescent="0.2">
      <c r="A16" s="657" t="s">
        <v>244</v>
      </c>
      <c r="B16" s="669" t="s">
        <v>254</v>
      </c>
      <c r="C16" s="672">
        <v>37338.629999999997</v>
      </c>
      <c r="D16" s="673">
        <f>C16/C32*100%</f>
        <v>0.152969476307768</v>
      </c>
      <c r="E16" s="661" t="s">
        <v>237</v>
      </c>
      <c r="F16" s="662"/>
      <c r="G16" s="662">
        <v>0.7</v>
      </c>
      <c r="H16" s="662">
        <v>0.3</v>
      </c>
    </row>
    <row r="17" spans="1:8" ht="15" x14ac:dyDescent="0.2">
      <c r="A17" s="663"/>
      <c r="B17" s="671"/>
      <c r="C17" s="665"/>
      <c r="D17" s="674"/>
      <c r="E17" s="661" t="s">
        <v>241</v>
      </c>
      <c r="F17" s="667"/>
      <c r="G17" s="667">
        <f>C16*G16</f>
        <v>26137.040999999997</v>
      </c>
      <c r="H17" s="667">
        <f>C16*H16</f>
        <v>11201.588999999998</v>
      </c>
    </row>
    <row r="18" spans="1:8" ht="14.25" x14ac:dyDescent="0.2">
      <c r="A18" s="668" t="s">
        <v>245</v>
      </c>
      <c r="B18" s="658" t="s">
        <v>255</v>
      </c>
      <c r="C18" s="672">
        <v>3683.83</v>
      </c>
      <c r="D18" s="660">
        <f>C18/C32*100%</f>
        <v>1.509197166331076E-2</v>
      </c>
      <c r="E18" s="661" t="s">
        <v>237</v>
      </c>
      <c r="F18" s="662"/>
      <c r="G18" s="662"/>
      <c r="H18" s="662">
        <v>1</v>
      </c>
    </row>
    <row r="19" spans="1:8" ht="15" x14ac:dyDescent="0.2">
      <c r="A19" s="670"/>
      <c r="B19" s="664"/>
      <c r="C19" s="665"/>
      <c r="D19" s="666"/>
      <c r="E19" s="661" t="s">
        <v>241</v>
      </c>
      <c r="F19" s="667"/>
      <c r="G19" s="667"/>
      <c r="H19" s="667">
        <f>C18</f>
        <v>3683.83</v>
      </c>
    </row>
    <row r="20" spans="1:8" ht="14.25" customHeight="1" x14ac:dyDescent="0.2">
      <c r="A20" s="658" t="s">
        <v>256</v>
      </c>
      <c r="B20" s="658" t="s">
        <v>257</v>
      </c>
      <c r="C20" s="672">
        <v>29978.1</v>
      </c>
      <c r="D20" s="660">
        <v>0.12280000000000001</v>
      </c>
      <c r="E20" s="661"/>
      <c r="F20" s="662"/>
      <c r="G20" s="662">
        <v>0.25</v>
      </c>
      <c r="H20" s="662">
        <v>0.75</v>
      </c>
    </row>
    <row r="21" spans="1:8" ht="15" x14ac:dyDescent="0.2">
      <c r="A21" s="664"/>
      <c r="B21" s="664"/>
      <c r="C21" s="665"/>
      <c r="D21" s="666"/>
      <c r="E21" s="661"/>
      <c r="F21" s="667"/>
      <c r="G21" s="667">
        <f>C20*G20</f>
        <v>7494.5249999999996</v>
      </c>
      <c r="H21" s="667">
        <f>C20*H20</f>
        <v>22483.574999999997</v>
      </c>
    </row>
    <row r="22" spans="1:8" ht="14.25" x14ac:dyDescent="0.2">
      <c r="A22" s="675"/>
      <c r="B22" s="680"/>
      <c r="C22" s="672"/>
      <c r="D22" s="677"/>
      <c r="E22" s="661"/>
      <c r="F22" s="662"/>
      <c r="G22" s="662"/>
      <c r="H22" s="662"/>
    </row>
    <row r="23" spans="1:8" ht="15" x14ac:dyDescent="0.2">
      <c r="A23" s="678"/>
      <c r="B23" s="681"/>
      <c r="C23" s="665"/>
      <c r="D23" s="666"/>
      <c r="E23" s="661"/>
      <c r="F23" s="667"/>
      <c r="G23" s="667"/>
      <c r="H23" s="667"/>
    </row>
    <row r="24" spans="1:8" ht="14.25" x14ac:dyDescent="0.2">
      <c r="A24" s="675"/>
      <c r="B24" s="676"/>
      <c r="C24" s="672"/>
      <c r="D24" s="677"/>
      <c r="E24" s="661"/>
      <c r="F24" s="662"/>
      <c r="G24" s="662"/>
      <c r="H24" s="662"/>
    </row>
    <row r="25" spans="1:8" ht="15" x14ac:dyDescent="0.2">
      <c r="A25" s="678"/>
      <c r="B25" s="679"/>
      <c r="C25" s="665"/>
      <c r="D25" s="666"/>
      <c r="E25" s="661"/>
      <c r="F25" s="667"/>
      <c r="G25" s="667"/>
      <c r="H25" s="667"/>
    </row>
    <row r="26" spans="1:8" ht="14.25" x14ac:dyDescent="0.2">
      <c r="A26" s="675"/>
      <c r="B26" s="676"/>
      <c r="C26" s="672"/>
      <c r="D26" s="677"/>
      <c r="E26" s="661"/>
      <c r="F26" s="662"/>
      <c r="G26" s="662"/>
      <c r="H26" s="662"/>
    </row>
    <row r="27" spans="1:8" ht="15" x14ac:dyDescent="0.2">
      <c r="A27" s="678"/>
      <c r="B27" s="679"/>
      <c r="C27" s="665"/>
      <c r="D27" s="666"/>
      <c r="E27" s="661"/>
      <c r="F27" s="667"/>
      <c r="G27" s="667"/>
      <c r="H27" s="667"/>
    </row>
    <row r="28" spans="1:8" ht="14.25" x14ac:dyDescent="0.2">
      <c r="A28" s="675"/>
      <c r="B28" s="680"/>
      <c r="C28" s="672"/>
      <c r="D28" s="677"/>
      <c r="E28" s="661"/>
      <c r="F28" s="662"/>
      <c r="G28" s="662"/>
      <c r="H28" s="662"/>
    </row>
    <row r="29" spans="1:8" ht="15.75" thickBot="1" x14ac:dyDescent="0.25">
      <c r="A29" s="682"/>
      <c r="B29" s="683"/>
      <c r="C29" s="684"/>
      <c r="D29" s="666"/>
      <c r="E29" s="661"/>
      <c r="F29" s="667"/>
      <c r="G29" s="667"/>
      <c r="H29" s="667"/>
    </row>
    <row r="30" spans="1:8" ht="14.25" x14ac:dyDescent="0.2">
      <c r="A30" s="685"/>
      <c r="B30" s="686"/>
      <c r="C30" s="687"/>
      <c r="D30" s="677"/>
      <c r="E30" s="661"/>
      <c r="F30" s="662"/>
      <c r="G30" s="662"/>
      <c r="H30" s="662"/>
    </row>
    <row r="31" spans="1:8" ht="15.75" thickBot="1" x14ac:dyDescent="0.25">
      <c r="A31" s="682"/>
      <c r="B31" s="683"/>
      <c r="C31" s="684"/>
      <c r="D31" s="688"/>
      <c r="E31" s="661"/>
      <c r="F31" s="667"/>
      <c r="G31" s="667"/>
      <c r="H31" s="667"/>
    </row>
    <row r="32" spans="1:8" ht="15" x14ac:dyDescent="0.25">
      <c r="A32" s="689" t="s">
        <v>246</v>
      </c>
      <c r="B32" s="690"/>
      <c r="C32" s="691">
        <f>SUM(C12:C31)</f>
        <v>244092.03</v>
      </c>
      <c r="D32" s="692">
        <f>SUM(D12:D29)</f>
        <v>0.99998525672468708</v>
      </c>
      <c r="E32" s="692"/>
      <c r="F32" s="693">
        <f>F13+F15</f>
        <v>71545.053699999989</v>
      </c>
      <c r="G32" s="693">
        <f>G17+G15+G21</f>
        <v>135177.9823</v>
      </c>
      <c r="H32" s="693">
        <f>H17+H19+H21</f>
        <v>37368.993999999992</v>
      </c>
    </row>
    <row r="33" spans="1:8" ht="15" x14ac:dyDescent="0.25">
      <c r="A33" s="694" t="s">
        <v>247</v>
      </c>
      <c r="B33" s="695"/>
      <c r="C33" s="696"/>
      <c r="D33" s="696"/>
      <c r="E33" s="696"/>
      <c r="F33" s="697">
        <f>F32/C32</f>
        <v>0.29310688144959091</v>
      </c>
      <c r="G33" s="697">
        <f>G32/H34*100%</f>
        <v>0.55379924653828316</v>
      </c>
      <c r="H33" s="697">
        <f>H32/H34*100%</f>
        <v>0.1530938720121259</v>
      </c>
    </row>
    <row r="34" spans="1:8" ht="14.25" x14ac:dyDescent="0.2">
      <c r="A34" s="694" t="s">
        <v>248</v>
      </c>
      <c r="B34" s="695"/>
      <c r="C34" s="698"/>
      <c r="D34" s="698"/>
      <c r="E34" s="698"/>
      <c r="F34" s="699">
        <f>F32</f>
        <v>71545.053699999989</v>
      </c>
      <c r="G34" s="699">
        <f>G32+F34</f>
        <v>206723.03599999999</v>
      </c>
      <c r="H34" s="699">
        <f>H32+G34</f>
        <v>244092.02999999997</v>
      </c>
    </row>
    <row r="35" spans="1:8" ht="14.25" x14ac:dyDescent="0.2">
      <c r="A35" s="694" t="s">
        <v>249</v>
      </c>
      <c r="B35" s="695"/>
      <c r="C35" s="698"/>
      <c r="D35" s="698"/>
      <c r="E35" s="698"/>
      <c r="F35" s="700">
        <f>F34/C32</f>
        <v>0.29310688144959091</v>
      </c>
      <c r="G35" s="700">
        <f>G33+F33</f>
        <v>0.84690612798787401</v>
      </c>
      <c r="H35" s="700">
        <f>F33+G33+H33</f>
        <v>0.99999999999999989</v>
      </c>
    </row>
    <row r="36" spans="1:8" ht="15" x14ac:dyDescent="0.2">
      <c r="A36" s="701"/>
      <c r="B36" s="702"/>
      <c r="C36" s="703"/>
      <c r="D36" s="703"/>
      <c r="E36" s="703"/>
      <c r="F36" s="704"/>
      <c r="G36" s="704"/>
      <c r="H36" s="704"/>
    </row>
    <row r="37" spans="1:8" x14ac:dyDescent="0.2">
      <c r="A37" s="647"/>
      <c r="B37" s="647"/>
      <c r="C37" s="648"/>
      <c r="D37" s="648"/>
      <c r="E37" s="648"/>
      <c r="F37" s="647"/>
      <c r="G37" s="647"/>
      <c r="H37" s="647"/>
    </row>
    <row r="38" spans="1:8" x14ac:dyDescent="0.2">
      <c r="A38" s="647"/>
      <c r="B38" s="647"/>
      <c r="C38" s="648"/>
      <c r="D38" s="648"/>
      <c r="E38" s="648"/>
      <c r="F38" s="647"/>
      <c r="G38" s="647"/>
      <c r="H38" s="647"/>
    </row>
    <row r="39" spans="1:8" ht="15" x14ac:dyDescent="0.2">
      <c r="A39" s="647"/>
      <c r="B39" s="647"/>
      <c r="C39" s="705" t="s">
        <v>250</v>
      </c>
      <c r="D39" s="705"/>
      <c r="E39" s="705"/>
      <c r="F39" s="706"/>
      <c r="G39" s="707" t="s">
        <v>251</v>
      </c>
      <c r="H39" s="707"/>
    </row>
    <row r="40" spans="1:8" x14ac:dyDescent="0.2">
      <c r="A40" s="647"/>
      <c r="B40" s="647"/>
      <c r="C40" s="648"/>
      <c r="D40" s="648"/>
      <c r="E40" s="144"/>
      <c r="F40" s="144"/>
      <c r="G40" s="144"/>
      <c r="H40" s="144" t="s">
        <v>220</v>
      </c>
    </row>
  </sheetData>
  <mergeCells count="63">
    <mergeCell ref="A34:B34"/>
    <mergeCell ref="A35:B35"/>
    <mergeCell ref="C39:E39"/>
    <mergeCell ref="A30:A31"/>
    <mergeCell ref="B30:B31"/>
    <mergeCell ref="C30:C31"/>
    <mergeCell ref="D30:D31"/>
    <mergeCell ref="A32:B32"/>
    <mergeCell ref="A33:B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14:A15"/>
    <mergeCell ref="B14:B15"/>
    <mergeCell ref="C14:C15"/>
    <mergeCell ref="D14:D15"/>
    <mergeCell ref="A16:A17"/>
    <mergeCell ref="B16:B17"/>
    <mergeCell ref="C16:C17"/>
    <mergeCell ref="D16:D17"/>
    <mergeCell ref="G7:H7"/>
    <mergeCell ref="A8:H8"/>
    <mergeCell ref="A10:A11"/>
    <mergeCell ref="B10:B11"/>
    <mergeCell ref="F10:H10"/>
    <mergeCell ref="A12:A13"/>
    <mergeCell ref="B12:B13"/>
    <mergeCell ref="C12:C13"/>
    <mergeCell ref="D12:D13"/>
    <mergeCell ref="A5:D5"/>
    <mergeCell ref="E5:E6"/>
    <mergeCell ref="F5:F6"/>
    <mergeCell ref="A6:D6"/>
    <mergeCell ref="A7:C7"/>
    <mergeCell ref="D7:F7"/>
    <mergeCell ref="A1:H1"/>
    <mergeCell ref="A2:E2"/>
    <mergeCell ref="F2:H2"/>
    <mergeCell ref="A3:E3"/>
    <mergeCell ref="F3:H3"/>
    <mergeCell ref="A4:D4"/>
    <mergeCell ref="E4:H4"/>
  </mergeCells>
  <conditionalFormatting sqref="G39">
    <cfRule type="cellIs" dxfId="1" priority="1" stopIfTrue="1" operator="equal">
      <formula>0</formula>
    </cfRule>
  </conditionalFormatting>
  <conditionalFormatting sqref="C39">
    <cfRule type="cellIs" dxfId="0" priority="2" stopIfTrue="1" operator="equal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PLANILHA</vt:lpstr>
      <vt:lpstr>MEMORIA</vt:lpstr>
      <vt:lpstr>COMPOSIÇÃO BDI</vt:lpstr>
      <vt:lpstr>RELAÇÃO DE RUAS </vt:lpstr>
      <vt:lpstr>CRONOGRAMA</vt:lpstr>
      <vt:lpstr>MEMORIA!Area_de_impressao</vt:lpstr>
      <vt:lpstr>PLANILHA!Area_de_impressao</vt:lpstr>
      <vt:lpstr>'RELAÇÃO DE RUAS '!Area_de_impressao</vt:lpstr>
      <vt:lpstr>MEMORIA!Titulos_de_impressao</vt:lpstr>
      <vt:lpstr>PLANILHA!Titulos_de_impressao</vt:lpstr>
    </vt:vector>
  </TitlesOfParts>
  <Company>Setop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Engenharia</cp:lastModifiedBy>
  <cp:lastPrinted>2020-01-29T12:40:04Z</cp:lastPrinted>
  <dcterms:created xsi:type="dcterms:W3CDTF">2006-09-22T13:55:22Z</dcterms:created>
  <dcterms:modified xsi:type="dcterms:W3CDTF">2020-06-17T17:30:17Z</dcterms:modified>
</cp:coreProperties>
</file>