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activeTab="1"/>
  </bookViews>
  <sheets>
    <sheet name="PLANILHA" sheetId="11" r:id="rId1"/>
    <sheet name="COMPOSIÇÃO BDI" sheetId="12" r:id="rId2"/>
    <sheet name="RELAÇÃO DE RUAS " sheetId="9" r:id="rId3"/>
    <sheet name="MEMORIA" sheetId="10" r:id="rId4"/>
    <sheet name="CRONOGRAMA" sheetId="13" r:id="rId5"/>
  </sheets>
  <externalReferences>
    <externalReference r:id="rId6"/>
  </externalReferences>
  <definedNames>
    <definedName name="_xlnm.Print_Area" localSheetId="3">MEMORIA!$A$1:$P$30</definedName>
    <definedName name="_xlnm.Print_Area" localSheetId="0">PLANILHA!$A$1:$AM$64</definedName>
    <definedName name="_xlnm.Print_Area" localSheetId="2">'RELAÇÃO DE RUAS '!$A$1:$P$18</definedName>
    <definedName name="_xlnm.Print_Titles" localSheetId="3">MEMORIA!$1:$9</definedName>
    <definedName name="_xlnm.Print_Titles" localSheetId="0">PLANILHA!$2:$29</definedName>
  </definedNames>
  <calcPr calcId="144525"/>
</workbook>
</file>

<file path=xl/calcChain.xml><?xml version="1.0" encoding="utf-8"?>
<calcChain xmlns="http://schemas.openxmlformats.org/spreadsheetml/2006/main">
  <c r="H34" i="13" l="1"/>
  <c r="G34" i="13"/>
  <c r="F34" i="13"/>
  <c r="G17" i="9"/>
  <c r="G14" i="9"/>
  <c r="G12" i="9"/>
  <c r="G13" i="9"/>
  <c r="F20" i="13" l="1"/>
  <c r="G20" i="13"/>
  <c r="H20" i="13"/>
  <c r="F22" i="13"/>
  <c r="G22" i="13"/>
  <c r="H22" i="13"/>
  <c r="F24" i="13"/>
  <c r="G24" i="13"/>
  <c r="H24" i="13"/>
  <c r="F26" i="13"/>
  <c r="G26" i="13"/>
  <c r="H26" i="13"/>
  <c r="F28" i="13"/>
  <c r="G28" i="13"/>
  <c r="H28" i="13"/>
  <c r="E34" i="13"/>
  <c r="H32" i="13"/>
  <c r="G32" i="13"/>
  <c r="F32" i="13"/>
  <c r="H30" i="13"/>
  <c r="G30" i="13"/>
  <c r="F30" i="13"/>
  <c r="H18" i="13"/>
  <c r="G18" i="13"/>
  <c r="F18" i="13"/>
  <c r="H16" i="13"/>
  <c r="G16" i="13"/>
  <c r="F16" i="13"/>
  <c r="H14" i="13"/>
  <c r="G14" i="13"/>
  <c r="F14" i="13"/>
  <c r="H12" i="13"/>
  <c r="G12" i="13"/>
  <c r="F12" i="13"/>
  <c r="H10" i="13"/>
  <c r="H33" i="13" l="1"/>
  <c r="F10" i="13"/>
  <c r="F33" i="13" s="1"/>
  <c r="G10" i="13"/>
  <c r="G33" i="13"/>
  <c r="AH32" i="11" l="1"/>
  <c r="AA47" i="11"/>
  <c r="AE47" i="11"/>
  <c r="AH47" i="11" l="1"/>
  <c r="F45" i="11"/>
  <c r="O12" i="9" l="1"/>
  <c r="M13" i="9" l="1"/>
  <c r="P14" i="9"/>
  <c r="M14" i="9"/>
  <c r="O14" i="9"/>
  <c r="Q14" i="9" l="1"/>
  <c r="R14" i="9" s="1"/>
  <c r="Q12" i="9" l="1"/>
  <c r="R12" i="9" l="1"/>
  <c r="H13" i="9"/>
  <c r="I49" i="12" l="1"/>
  <c r="C45" i="12"/>
  <c r="A45" i="12"/>
  <c r="A46" i="12" s="1"/>
  <c r="C44" i="12"/>
  <c r="I42" i="12"/>
  <c r="A39" i="12"/>
  <c r="C39" i="12" s="1"/>
  <c r="C38" i="12"/>
  <c r="I35" i="12"/>
  <c r="M32" i="12"/>
  <c r="I29" i="12"/>
  <c r="C28" i="12"/>
  <c r="A28" i="12"/>
  <c r="A29" i="12" s="1"/>
  <c r="C27" i="12"/>
  <c r="N24" i="12"/>
  <c r="N27" i="12" s="1"/>
  <c r="A23" i="12"/>
  <c r="C23" i="12" s="1"/>
  <c r="M22" i="12"/>
  <c r="I22" i="12"/>
  <c r="C22" i="12"/>
  <c r="A22" i="12"/>
  <c r="M21" i="12"/>
  <c r="I21" i="12"/>
  <c r="C21" i="12"/>
  <c r="M20" i="12"/>
  <c r="I20" i="12"/>
  <c r="M19" i="12"/>
  <c r="I19" i="12"/>
  <c r="M18" i="12"/>
  <c r="I18" i="12"/>
  <c r="A15" i="12"/>
  <c r="C15" i="12" s="1"/>
  <c r="C14" i="12"/>
  <c r="C13" i="12"/>
  <c r="C12" i="12"/>
  <c r="Q11" i="12"/>
  <c r="N25" i="12" s="1"/>
  <c r="O25" i="12" s="1"/>
  <c r="C11" i="12"/>
  <c r="C10" i="12"/>
  <c r="C9" i="12"/>
  <c r="I8" i="12"/>
  <c r="C8" i="12"/>
  <c r="K5" i="12"/>
  <c r="I5" i="12"/>
  <c r="C3" i="12"/>
  <c r="A3" i="12"/>
  <c r="A4" i="12" s="1"/>
  <c r="C2" i="12"/>
  <c r="A5" i="12" l="1"/>
  <c r="C4" i="12"/>
  <c r="A32" i="12"/>
  <c r="C29" i="12"/>
  <c r="A47" i="12"/>
  <c r="C46" i="12"/>
  <c r="A17" i="12"/>
  <c r="A24" i="12"/>
  <c r="L32" i="12"/>
  <c r="M33" i="12"/>
  <c r="I37" i="12"/>
  <c r="A40" i="12"/>
  <c r="N26" i="12"/>
  <c r="C17" i="12" l="1"/>
  <c r="A18" i="12"/>
  <c r="A48" i="12"/>
  <c r="C47" i="12"/>
  <c r="C32" i="12"/>
  <c r="A33" i="12"/>
  <c r="A6" i="12"/>
  <c r="C5" i="12"/>
  <c r="C40" i="12"/>
  <c r="A41" i="12"/>
  <c r="A25" i="12"/>
  <c r="C24" i="12"/>
  <c r="C41" i="12" l="1"/>
  <c r="A42" i="12"/>
  <c r="A34" i="12"/>
  <c r="C34" i="12" s="1"/>
  <c r="C33" i="12"/>
  <c r="A19" i="12"/>
  <c r="C18" i="12"/>
  <c r="A26" i="12"/>
  <c r="C26" i="12" s="1"/>
  <c r="C25" i="12"/>
  <c r="A7" i="12"/>
  <c r="C7" i="12" s="1"/>
  <c r="R22" i="12" s="1"/>
  <c r="C6" i="12"/>
  <c r="Q18" i="12" s="1"/>
  <c r="A49" i="12"/>
  <c r="C49" i="12" s="1"/>
  <c r="C48" i="12"/>
  <c r="A20" i="12" l="1"/>
  <c r="C20" i="12" s="1"/>
  <c r="C19" i="12"/>
  <c r="Q26" i="12"/>
  <c r="P21" i="12"/>
  <c r="R18" i="12"/>
  <c r="R26" i="12"/>
  <c r="P26" i="12"/>
  <c r="O26" i="12" s="1"/>
  <c r="O27" i="12" s="1"/>
  <c r="R21" i="12"/>
  <c r="Q19" i="12"/>
  <c r="Q20" i="12"/>
  <c r="P19" i="12"/>
  <c r="Q22" i="12"/>
  <c r="P20" i="12"/>
  <c r="R19" i="12"/>
  <c r="Q21" i="12"/>
  <c r="P22" i="12"/>
  <c r="R20" i="12"/>
  <c r="P18" i="12"/>
  <c r="C42" i="12"/>
  <c r="A43" i="12"/>
  <c r="C43" i="12" s="1"/>
  <c r="P15" i="9" l="1"/>
  <c r="R15" i="9"/>
  <c r="M15" i="9"/>
  <c r="G15" i="9"/>
  <c r="H15" i="9"/>
  <c r="F12" i="9" l="1"/>
  <c r="P12" i="9" l="1"/>
  <c r="M12" i="9"/>
  <c r="N17" i="9"/>
  <c r="P3" i="10" l="1"/>
  <c r="I17" i="9" l="1"/>
  <c r="C27" i="10" s="1"/>
  <c r="J17" i="9"/>
  <c r="H12" i="9"/>
  <c r="L17" i="9"/>
  <c r="O17" i="9"/>
  <c r="Q17" i="9"/>
  <c r="F17" i="10" l="1"/>
  <c r="K17" i="9"/>
  <c r="H17" i="9"/>
  <c r="P17" i="9" l="1"/>
  <c r="Q18" i="9" s="1"/>
  <c r="R17" i="9"/>
  <c r="M17" i="9"/>
  <c r="B5" i="10"/>
  <c r="C29" i="10" l="1"/>
  <c r="F29" i="10" s="1"/>
  <c r="C25" i="10"/>
  <c r="J29" i="10" l="1"/>
  <c r="F26" i="10"/>
  <c r="D23" i="10" l="1"/>
  <c r="O18" i="9"/>
  <c r="D22" i="10" s="1"/>
  <c r="F18" i="10" l="1"/>
  <c r="U38" i="11" l="1"/>
  <c r="B3" i="10"/>
  <c r="F11" i="10"/>
  <c r="U31" i="11" s="1"/>
  <c r="A30" i="11"/>
  <c r="F30" i="11"/>
  <c r="AA30" i="11"/>
  <c r="AE30" i="11"/>
  <c r="AH30" i="11"/>
  <c r="A31" i="11"/>
  <c r="F31" i="11"/>
  <c r="F34" i="11"/>
  <c r="F44" i="11"/>
  <c r="F19" i="10" l="1"/>
  <c r="J19" i="10" s="1"/>
  <c r="U39" i="11"/>
  <c r="L19" i="10" l="1"/>
  <c r="L20" i="10" l="1"/>
  <c r="P20" i="10" s="1"/>
  <c r="AA41" i="11" s="1"/>
  <c r="AA40" i="11"/>
  <c r="AE41" i="11"/>
  <c r="AH41" i="11" s="1"/>
  <c r="AA39" i="11"/>
  <c r="AE39" i="11"/>
  <c r="AH39" i="11" s="1"/>
  <c r="AA38" i="11"/>
  <c r="AE46" i="11"/>
  <c r="AH46" i="11" s="1"/>
  <c r="AE38" i="11"/>
  <c r="AH38" i="11" s="1"/>
  <c r="AA46" i="11"/>
  <c r="AE37" i="11"/>
  <c r="AA45" i="11"/>
  <c r="AE35" i="11"/>
  <c r="AE31" i="11"/>
  <c r="AE36" i="11"/>
  <c r="AA31" i="11"/>
  <c r="AA32" i="11" s="1"/>
  <c r="AE40" i="11"/>
  <c r="AE45" i="11"/>
  <c r="AH45" i="11" s="1"/>
  <c r="AH48" i="11" l="1"/>
  <c r="AH31" i="11"/>
  <c r="AA48" i="11"/>
  <c r="AH40" i="11"/>
  <c r="F14" i="10" l="1"/>
  <c r="F15" i="10" l="1"/>
  <c r="J15" i="10" s="1"/>
  <c r="U36" i="11" s="1"/>
  <c r="AH36" i="11" s="1"/>
  <c r="U35" i="11"/>
  <c r="AH35" i="11"/>
  <c r="J16" i="10" l="1"/>
  <c r="O16" i="10" s="1"/>
  <c r="U37" i="11" s="1"/>
  <c r="AH37" i="11" s="1"/>
  <c r="AH42" i="11" s="1"/>
  <c r="AH50" i="11" s="1"/>
  <c r="AA35" i="11"/>
  <c r="AA36" i="11"/>
  <c r="AA37" i="11" l="1"/>
  <c r="AA42" i="11" s="1"/>
</calcChain>
</file>

<file path=xl/sharedStrings.xml><?xml version="1.0" encoding="utf-8"?>
<sst xmlns="http://schemas.openxmlformats.org/spreadsheetml/2006/main" count="375" uniqueCount="236">
  <si>
    <t>ITEM</t>
  </si>
  <si>
    <t>CÓDIGO</t>
  </si>
  <si>
    <t>1.1</t>
  </si>
  <si>
    <t>2.1</t>
  </si>
  <si>
    <t>RELAÇÃO DE RUAS</t>
  </si>
  <si>
    <t>3.1</t>
  </si>
  <si>
    <t>%</t>
  </si>
  <si>
    <t>NOME DAS RUAS</t>
  </si>
  <si>
    <t>TOTAIS GERAIS</t>
  </si>
  <si>
    <t>COMPRIMENTO (m)</t>
  </si>
  <si>
    <t>MEMÓRIA DE CÁLCULO DOS QUANTITATIVOS</t>
  </si>
  <si>
    <t>DISCRIMINAÇÃO DOS SERVIÇOS</t>
  </si>
  <si>
    <t>COMPR. (m)</t>
  </si>
  <si>
    <t>LARG. (m)</t>
  </si>
  <si>
    <t>ÁREA (m²)</t>
  </si>
  <si>
    <t>ESP. (m)</t>
  </si>
  <si>
    <t>VOLUME (m³)</t>
  </si>
  <si>
    <t>PESO ESPCIF. (ton/m³)</t>
  </si>
  <si>
    <t>PESO (ton)</t>
  </si>
  <si>
    <t>DMT (km)</t>
  </si>
  <si>
    <t>MOM. TRANSP. (tonxkm)</t>
  </si>
  <si>
    <t>MOM. TRANSP. (m³xkm)</t>
  </si>
  <si>
    <t>2.2</t>
  </si>
  <si>
    <t>4.1</t>
  </si>
  <si>
    <t>IMPLANTAÇÃO</t>
  </si>
  <si>
    <t>CONSUMO DE MATERIAIS</t>
  </si>
  <si>
    <t>3.2</t>
  </si>
  <si>
    <t>5.1</t>
  </si>
  <si>
    <t>UNID.</t>
  </si>
  <si>
    <t>m³</t>
  </si>
  <si>
    <t>m²</t>
  </si>
  <si>
    <t>4.3</t>
  </si>
  <si>
    <t>4.2</t>
  </si>
  <si>
    <t>2.3</t>
  </si>
  <si>
    <t xml:space="preserve">ORÇAMENTO DISCRIMINATIVO </t>
  </si>
  <si>
    <t>Proponente</t>
  </si>
  <si>
    <t>Nº do Contrato de Repasse - OGU</t>
  </si>
  <si>
    <t>Empreendimento ( Nome/Apelido)</t>
  </si>
  <si>
    <t>Município</t>
  </si>
  <si>
    <t>UF</t>
  </si>
  <si>
    <t>MG</t>
  </si>
  <si>
    <t>Programa</t>
  </si>
  <si>
    <t>Gestor (Ministério)</t>
  </si>
  <si>
    <t>Data-Base (mês de referência)</t>
  </si>
  <si>
    <t>Regime de execução das obras:</t>
  </si>
  <si>
    <t>Composição de BDI Adotada</t>
  </si>
  <si>
    <t>BDI Proposto:</t>
  </si>
  <si>
    <t>Garantia (G)</t>
  </si>
  <si>
    <t xml:space="preserve">De </t>
  </si>
  <si>
    <t>até</t>
  </si>
  <si>
    <t xml:space="preserve">  Garantia:</t>
  </si>
  <si>
    <t xml:space="preserve">Risco (R) </t>
  </si>
  <si>
    <t xml:space="preserve">  Risco:</t>
  </si>
  <si>
    <t>Despesas financeiras (DF)</t>
  </si>
  <si>
    <t xml:space="preserve">  Despesas financeiras:</t>
  </si>
  <si>
    <t>Administração Central (AC)</t>
  </si>
  <si>
    <t xml:space="preserve">  Administração central:</t>
  </si>
  <si>
    <t>Lucro (L)</t>
  </si>
  <si>
    <t xml:space="preserve">  Lucro:</t>
  </si>
  <si>
    <t>Tributos (T)</t>
  </si>
  <si>
    <t xml:space="preserve">  Tributos:</t>
  </si>
  <si>
    <t>DESCRIÇÃO DOS SERVIÇOS</t>
  </si>
  <si>
    <t xml:space="preserve">UN </t>
  </si>
  <si>
    <t>QUANT</t>
  </si>
  <si>
    <t>VALORES (R$)</t>
  </si>
  <si>
    <t>tributos</t>
  </si>
  <si>
    <t>FONTE</t>
  </si>
  <si>
    <t>CUSTO</t>
  </si>
  <si>
    <t>PREÇO</t>
  </si>
  <si>
    <t>iss</t>
  </si>
  <si>
    <t>UNITÁRIO</t>
  </si>
  <si>
    <t>TOTAL ITEM</t>
  </si>
  <si>
    <t>pis</t>
  </si>
  <si>
    <t>cofins</t>
  </si>
  <si>
    <t>SINAPI</t>
  </si>
  <si>
    <t>SUBTOTAL 1</t>
  </si>
  <si>
    <t>m³.km</t>
  </si>
  <si>
    <t>SUBTOTAL 2</t>
  </si>
  <si>
    <t>SUBTOTAL 3</t>
  </si>
  <si>
    <t>m</t>
  </si>
  <si>
    <t>TOTAIS:</t>
  </si>
  <si>
    <t>CUSTO:</t>
  </si>
  <si>
    <t>PREÇO: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</si>
  <si>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</si>
  <si>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 xml:space="preserve">REGULARIZACAO E COMPACTACAO DE SUBLEITO ATE 20 CM DE ESPESSURA </t>
  </si>
  <si>
    <t>BASE DE SOLO - BRITA (50/50), MISTURA EM USINA, COMPACTACAO 100% PROCTOR MODIFICADO, EXCLUSIVE ESCAVACAO, CARGA E TRANSPORTE</t>
  </si>
  <si>
    <t>EMPOLAMENTO %</t>
  </si>
  <si>
    <t>IMPRIMACAO DE BASE DE PAVIMENTACAO COM EMULSAO CM-30</t>
  </si>
  <si>
    <t>PINTURA DE LIGACAO COM EMULSAO RR-1C</t>
  </si>
  <si>
    <t>TRANSPORTE COMERCIAL COM CAMINHAO BASCULANTE 6 M3, RODOVIA PAVIMENTADA (CBUQ) - DMT = 100 KM</t>
  </si>
  <si>
    <t>PAVIMENTAÇÃO ASFÁLTICA</t>
  </si>
  <si>
    <t>DRENAGEM SUPERFICIAL</t>
  </si>
  <si>
    <t>5.2</t>
  </si>
  <si>
    <t>OBRAS COMPLEMENTARES</t>
  </si>
  <si>
    <t>SERVIÇOS PRELIMINARES</t>
  </si>
  <si>
    <t>Pavimentação Asfáltico em C.B.U.Q. (Concreto Betuminoso Usinado a Quente)</t>
  </si>
  <si>
    <t>2.4</t>
  </si>
  <si>
    <t>2.5</t>
  </si>
  <si>
    <t>2.6</t>
  </si>
  <si>
    <t>2.7</t>
  </si>
  <si>
    <t>URBANIZAÇÃO</t>
  </si>
  <si>
    <t>Obra: PAVIMENTAÇÃO ASFÁLTICA</t>
  </si>
  <si>
    <t>74209/001</t>
  </si>
  <si>
    <t>PLACA DE OBRA EM CHAPA DE ACO GALVANIZADO</t>
  </si>
  <si>
    <t>PREFEITURA MUNICIPAL DE PAPAGAIOS - MG</t>
  </si>
  <si>
    <t>TRANSPORTE COMERCIAL COM CAMINHAO BASCULANTE 6 M3, RODOVIA PAVIMENTADA (mistura solo-brita da usina até o local da obra) - DMT = 6 KM</t>
  </si>
  <si>
    <t>Planejamento Urbano</t>
  </si>
  <si>
    <t>Papagaios</t>
  </si>
  <si>
    <t>LARGURA (sub-leito, Base e Imprimação) (m)</t>
  </si>
  <si>
    <t>LARGURA (pintura e capa) (m)</t>
  </si>
  <si>
    <t>PLACA DE PARE R-1 (unid)</t>
  </si>
  <si>
    <t>PLACA DE IDENTIFICAÇÃO DE RUA (unid)</t>
  </si>
  <si>
    <t>FAIXA DE SINALIZAÇÃO (m2)</t>
  </si>
  <si>
    <t xml:space="preserve">RAMPA ACESSIBILIDADE (unid) </t>
  </si>
  <si>
    <t>MEIO FIO  S/DESC (m)</t>
  </si>
  <si>
    <t xml:space="preserve">MEIO FIO JÁ EXECUTADO </t>
  </si>
  <si>
    <t>EXTENSÃO DOS CRUZAMENTOS SEM MEIO FIO</t>
  </si>
  <si>
    <t>TOTAL MEIO FIO ML</t>
  </si>
  <si>
    <t>SARJETAS S/DESCONTO (m)</t>
  </si>
  <si>
    <t>TOTAL SARJETA</t>
  </si>
  <si>
    <t>PASSEIOS (ml)</t>
  </si>
  <si>
    <t>Rua</t>
  </si>
  <si>
    <t>SINALIZACAO HORIZONTAL COM TINTA RETRORREFLETIVA A BASE DE RESINA ACRILICA COM MICROESFERAS DE VIDRO (FAIXA DE PARE, RETENÇÃO E DVISÃO DA PISTA)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</si>
  <si>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</si>
  <si>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SARJETA TIPO 1 - 50 X 5 CM, I = 3 %, PADRÃO DEOP-MG </t>
  </si>
  <si>
    <r>
      <t xml:space="preserve"> BDI =</t>
    </r>
    <r>
      <rPr>
        <u/>
        <sz val="11"/>
        <rFont val="Arial"/>
        <family val="2"/>
      </rPr>
      <t xml:space="preserve"> (1+AC+R+G)X(1+DF)x(1+L)</t>
    </r>
    <r>
      <rPr>
        <sz val="11"/>
        <rFont val="Arial"/>
        <family val="2"/>
      </rPr>
      <t xml:space="preserve">)  -1
                                  1-T
  </t>
    </r>
    <r>
      <rPr>
        <u/>
        <sz val="11"/>
        <rFont val="Arial"/>
        <family val="2"/>
      </rPr>
      <t>Observação</t>
    </r>
    <r>
      <rPr>
        <sz val="11"/>
        <rFont val="Arial"/>
        <family val="2"/>
      </rPr>
      <t>:
  i)   Composição do BDI, intervalos admissíveis e Fórmula de cálculo nos termos do Acórdão 2622/2013  do TCU.</t>
    </r>
  </si>
  <si>
    <t xml:space="preserve">DATA: </t>
  </si>
  <si>
    <t>PREFEITURA MUNICIPAL DE PAPAGAIOS</t>
  </si>
  <si>
    <t>Local: RUA ANTÔNIO LIMA - BAIRRO BELA VISTA</t>
  </si>
  <si>
    <t>BELA VISTA</t>
  </si>
  <si>
    <t>XXX</t>
  </si>
  <si>
    <t>MIN</t>
  </si>
  <si>
    <t>MED</t>
  </si>
  <si>
    <t>MAX</t>
  </si>
  <si>
    <t>Construção e Reforma de Edifícios</t>
  </si>
  <si>
    <t>AC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</si>
  <si>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</si>
  <si>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</si>
  <si>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</si>
  <si>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</si>
  <si>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</si>
  <si>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</si>
  <si>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</si>
  <si>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</si>
  <si>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</si>
  <si>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</si>
  <si>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</si>
  <si>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</si>
  <si>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</si>
  <si>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</si>
  <si>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</si>
  <si>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</si>
  <si>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</si>
  <si>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</si>
  <si>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</si>
  <si>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</si>
  <si>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</si>
  <si>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</si>
  <si>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</si>
  <si>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</si>
  <si>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</si>
  <si>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</si>
  <si>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</si>
  <si>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</si>
  <si>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</si>
  <si>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</si>
  <si>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</si>
  <si>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</si>
  <si>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</si>
  <si>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Anexo: Relatório Técnico Circunstanciado justificando a adoção do percentual de cada parcela do BDI.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</si>
  <si>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</si>
  <si>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</si>
  <si>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</si>
  <si>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</si>
  <si>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</si>
  <si>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</si>
  <si>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</si>
  <si>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</si>
  <si>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</si>
  <si>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/>
  </si>
  <si>
    <t>Responsável Técnico</t>
  </si>
  <si>
    <t>Responsável Tomador</t>
  </si>
  <si>
    <t>Nome:</t>
  </si>
  <si>
    <t>MARIO REIS FILGUEIRAS</t>
  </si>
  <si>
    <t>K3</t>
  </si>
  <si>
    <t>Título:</t>
  </si>
  <si>
    <t>Cargo:</t>
  </si>
  <si>
    <t>PREFEITO MUNICIPAL</t>
  </si>
  <si>
    <t>QUADRO COMPOSIÇÃO BDI</t>
  </si>
  <si>
    <t>EMPREITADA POR PREÇO GLOBAL</t>
  </si>
  <si>
    <t>EXECUÇÃO DE PASSEIO (CALÇADA) OU PISO DE CONCRETO COM CONCRETO MOLDADO 
IN LOCO, FEITO EM OBRA, ACABAMENTO CONVENCIONAL, NÃO ARMADO. AF_07/2016</t>
  </si>
  <si>
    <t>PLACA ESMALTADA PARA IDENTIFICAÇÃO NR DE RUA, DIMENSÕES 45X25CM</t>
  </si>
  <si>
    <t>FORNECIMENTO E INSTALAÇÃO DE PLACA DE SINALIZAÇÃO VIÁRIA(DIÂMETRO=50CM) COM SUPORTE DE AÇO GALVANIZADO (TUBO DE 50 MM DE DIÂMETRO E COMPRIMENTO TOTAL IGUAL A 3 METROS). INCLUI BASE DE CONCRETO</t>
  </si>
  <si>
    <t>Antônio Lima - TRECHOS RETOS</t>
  </si>
  <si>
    <t>TOTAL</t>
  </si>
  <si>
    <t>FABRICAÇÃO E APLICAÇÃO DE CONCRETO BETUMINOSO USINADO A QUENTE(CBUQ), CAP 50/70. EXCLUSIVE TRANSPORTE</t>
  </si>
  <si>
    <t>EXTENSÃO DOS CRUZAMENTOS SEM SARJETA e PASSEIO (m)</t>
  </si>
  <si>
    <t>DATA: 28/12/2017</t>
  </si>
  <si>
    <t>ÁREA DE BASE E IMPRIMAÇÃO       (Sub-leito e Base) (m²)</t>
  </si>
  <si>
    <t>ÁREA DE PAVIMENTAÇÃO (pintura de ligação e capa) (m²)</t>
  </si>
  <si>
    <t>REGULARIZAÇÃO E COMPACTAÇÃO DE SUBLEITO DE SOLO PREDOMINANTEMENTE ARGILOSO</t>
  </si>
  <si>
    <t>TRANSPORTE COM CAMINHÃO BASCULANTE DE 6 M3, EM VIA URBANA PAVIMENTADADMT ATÉ 30 KM (UNIDADE: M3XKM). AF_01/2018</t>
  </si>
  <si>
    <t>EXECUÇÃO DE IMPRIMAÇÃO COM ASFALTO DILUÍDO CM-30. AF_11/2019</t>
  </si>
  <si>
    <t>EXECUÇÃO DE PINTURA DE LIGAÇÃO COM EMULSÃO ASFÁLTICA RR-2C. AF_11/2019</t>
  </si>
  <si>
    <t>TRANSPORTE COM CAMINHÃO BASCULANTE DE 6 M3, EM VIA URBANA PAVIMENTADA DMT ACIMA DE 30 KM (UNIDADE: M3XKM). AF_01/2018</t>
  </si>
  <si>
    <t>M3XKM</t>
  </si>
  <si>
    <t>EXECUÇÃO DE PAVIMENTO COM APLICAÇÃO DE CONCRETO ASFÁLTICO, CAMADA DE ROLAMENTO - EXCLUSIVE CARGA E TRANSPORTE. AF_11/2019</t>
  </si>
  <si>
    <t>M3</t>
  </si>
  <si>
    <t>EXECUÇÃO DE SARJETA DE CONCRETO USINADO, MOLDADA IN LOCO EM TRECHO RETO, 45 CM BASE X 10 CM ALTURA. AF_06/2016</t>
  </si>
  <si>
    <t>3.3</t>
  </si>
  <si>
    <t>EXECUÇÃO DE SARJETÃO DE CONCRETO USINADO, MOLDADA IN LOCO EM TRECHO RETO, 100 CM BASE X 20 CM ALTURA. AF_06/2016</t>
  </si>
  <si>
    <t>11,00*8</t>
  </si>
  <si>
    <r>
      <t xml:space="preserve">EXECUÇÃO E COMPACTAÇÃO DE BASE E OU SUB-BASE PARA PAVIMENTAÇÃO DE SOLO (PREDOMINANTEMENTE ARGILOSO) BRITA - 50/50 - EXCLUSIVE SOLO, ESCAVAÇÃ O, CARGA E TRANSPORTE. AF_11/2019 </t>
    </r>
    <r>
      <rPr>
        <b/>
        <sz val="9"/>
        <rFont val="Arial"/>
        <family val="2"/>
      </rPr>
      <t>SERA FEITA PELA PREFEITURA</t>
    </r>
  </si>
  <si>
    <t>Responsável Técnico: IRLEY GERALDO ALVES VIEIRA</t>
  </si>
  <si>
    <t>CREA -MG 175.870/D</t>
  </si>
  <si>
    <t>CRONOGRAMA FÍSICO-FINANCEIRO</t>
  </si>
  <si>
    <t xml:space="preserve">PREFEITURA:MUNICIPAL DE PAPAGAIOS </t>
  </si>
  <si>
    <t>OBRA: PAVIMENTAÇÃO ASFALTICA EM CBUQ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</si>
  <si>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</si>
  <si>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</si>
  <si>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</si>
  <si>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</si>
  <si>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</si>
  <si>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</si>
  <si>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</si>
  <si>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</si>
  <si>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Carimbo e assinatura do engenheiro responsável técnico pela elaboração do cronograma</t>
  </si>
  <si>
    <t>CREA</t>
  </si>
  <si>
    <t>Carimbo e assinatura do representante legal</t>
  </si>
  <si>
    <t>PAVIMENTAÇAO ASFALTICA</t>
  </si>
  <si>
    <t>LOCAL:RUA ANTONIO LIMA BAIRRO BELA VISTA</t>
  </si>
  <si>
    <t xml:space="preserve">Antônio Lima -COMPRIMENTO CIRCUNFERÊNCIA PRAÇA </t>
  </si>
  <si>
    <t>VALOR :R$267.178,27</t>
  </si>
  <si>
    <t>KARINA ERICA DE OLIVEIRA</t>
  </si>
  <si>
    <t>ARQUITETA</t>
  </si>
  <si>
    <t>A42262-2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</si>
</sst>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_);_(* \(#,##0.000\);_(* &quot;-&quot;??_);_(@_)"/>
    <numFmt numFmtId="167" formatCode="_(* #,##0.000000000_);_(* \(#,##0.000000000\);_(* &quot;-&quot;??_);_(@_)"/>
    <numFmt numFmtId="168" formatCode="[$-416]mmmm\-yyyy;@"/>
    <numFmt numFmtId="169" formatCode="#,##0.00_ ;\-#,##0.00\ "/>
    <numFmt numFmtId="170" formatCode="General;General;"/>
    <numFmt numFmtId="171" formatCode="[$-F800]dddd\,\ mmmm\ dd\,\ yyyy"/>
    <numFmt numFmtId="172" formatCode="dd\ &quot;de&quot;\ mmmm\ &quot;de&quot;\ yyyy"/>
    <numFmt numFmtId="173" formatCode="&quot;R$ &quot;#,##0.00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4"/>
      <name val="Arial"/>
      <family val="2"/>
    </font>
    <font>
      <sz val="9"/>
      <name val="Arial"/>
      <family val="2"/>
    </font>
    <font>
      <sz val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222222"/>
      <name val="Times New Roman"/>
      <family val="1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5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5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165" fontId="0" fillId="0" borderId="0" xfId="5" applyFont="1" applyFill="1" applyBorder="1" applyAlignment="1">
      <alignment vertical="center"/>
    </xf>
    <xf numFmtId="165" fontId="2" fillId="6" borderId="12" xfId="5" applyFont="1" applyFill="1" applyBorder="1" applyAlignment="1">
      <alignment vertical="center"/>
    </xf>
    <xf numFmtId="165" fontId="0" fillId="0" borderId="0" xfId="0" applyNumberFormat="1"/>
    <xf numFmtId="165" fontId="14" fillId="0" borderId="0" xfId="5" applyFont="1" applyAlignment="1">
      <alignment vertical="center"/>
    </xf>
    <xf numFmtId="165" fontId="2" fillId="7" borderId="10" xfId="5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5" fontId="2" fillId="7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165" fontId="0" fillId="0" borderId="10" xfId="5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15" xfId="5" applyFon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5" fontId="2" fillId="6" borderId="10" xfId="5" applyFon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2" fillId="8" borderId="21" xfId="0" applyNumberFormat="1" applyFont="1" applyFill="1" applyBorder="1"/>
    <xf numFmtId="165" fontId="2" fillId="0" borderId="10" xfId="5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12" xfId="5" applyFont="1" applyFill="1" applyBorder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Continuous" vertical="center"/>
    </xf>
    <xf numFmtId="0" fontId="7" fillId="6" borderId="13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31" xfId="0" applyFont="1" applyFill="1" applyBorder="1" applyAlignment="1" applyProtection="1">
      <alignment horizontal="left" vertical="center"/>
    </xf>
    <xf numFmtId="10" fontId="7" fillId="6" borderId="30" xfId="0" applyNumberFormat="1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left" vertical="center"/>
    </xf>
    <xf numFmtId="10" fontId="7" fillId="6" borderId="32" xfId="0" applyNumberFormat="1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horizontal="left" vertical="center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vertical="center"/>
    </xf>
    <xf numFmtId="0" fontId="8" fillId="3" borderId="25" xfId="0" applyFont="1" applyFill="1" applyBorder="1" applyAlignment="1" applyProtection="1">
      <alignment vertical="center"/>
    </xf>
    <xf numFmtId="10" fontId="7" fillId="0" borderId="10" xfId="3" applyNumberFormat="1" applyFont="1" applyBorder="1" applyAlignment="1" applyProtection="1">
      <alignment vertical="center"/>
    </xf>
    <xf numFmtId="0" fontId="8" fillId="3" borderId="28" xfId="0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3" borderId="29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5" fontId="2" fillId="0" borderId="11" xfId="5" applyFont="1" applyFill="1" applyBorder="1" applyAlignment="1">
      <alignment vertical="center"/>
    </xf>
    <xf numFmtId="43" fontId="7" fillId="0" borderId="0" xfId="0" applyNumberFormat="1" applyFont="1" applyAlignment="1" applyProtection="1">
      <alignment vertical="center"/>
    </xf>
    <xf numFmtId="0" fontId="13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43" fontId="7" fillId="0" borderId="0" xfId="0" applyNumberFormat="1" applyFont="1" applyBorder="1" applyAlignment="1" applyProtection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4" fillId="6" borderId="10" xfId="5" applyFont="1" applyFill="1" applyBorder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4" fillId="0" borderId="10" xfId="0" applyFont="1" applyFill="1" applyBorder="1" applyAlignment="1">
      <alignment vertical="center" wrapText="1"/>
    </xf>
    <xf numFmtId="0" fontId="7" fillId="0" borderId="10" xfId="2" applyNumberFormat="1" applyFont="1" applyFill="1" applyBorder="1" applyAlignment="1" applyProtection="1">
      <alignment vertical="center" wrapText="1"/>
      <protection locked="0"/>
    </xf>
    <xf numFmtId="4" fontId="2" fillId="0" borderId="10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2" fillId="7" borderId="21" xfId="0" applyFont="1" applyFill="1" applyBorder="1" applyAlignment="1">
      <alignment vertical="center" wrapText="1"/>
    </xf>
    <xf numFmtId="165" fontId="2" fillId="6" borderId="11" xfId="5" applyFont="1" applyFill="1" applyBorder="1" applyAlignment="1">
      <alignment vertical="center"/>
    </xf>
    <xf numFmtId="166" fontId="2" fillId="6" borderId="10" xfId="5" applyNumberFormat="1" applyFont="1" applyFill="1" applyBorder="1" applyAlignment="1">
      <alignment vertical="center"/>
    </xf>
    <xf numFmtId="165" fontId="2" fillId="6" borderId="24" xfId="5" applyFont="1" applyFill="1" applyBorder="1" applyAlignment="1">
      <alignment vertical="center"/>
    </xf>
    <xf numFmtId="165" fontId="2" fillId="6" borderId="14" xfId="5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0" fontId="8" fillId="0" borderId="21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6" fillId="0" borderId="0" xfId="0" applyFont="1"/>
    <xf numFmtId="43" fontId="0" fillId="0" borderId="0" xfId="0" applyNumberFormat="1"/>
    <xf numFmtId="0" fontId="1" fillId="0" borderId="0" xfId="0" applyFont="1"/>
    <xf numFmtId="2" fontId="4" fillId="6" borderId="10" xfId="5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2" fontId="4" fillId="6" borderId="11" xfId="5" applyNumberFormat="1" applyFont="1" applyFill="1" applyBorder="1" applyAlignment="1">
      <alignment horizontal="center" vertical="center"/>
    </xf>
    <xf numFmtId="0" fontId="0" fillId="6" borderId="68" xfId="0" applyFill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165" fontId="1" fillId="6" borderId="10" xfId="5" applyFont="1" applyFill="1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65" fontId="1" fillId="9" borderId="10" xfId="5" applyFont="1" applyFill="1" applyBorder="1" applyAlignment="1">
      <alignment vertical="center"/>
    </xf>
    <xf numFmtId="0" fontId="0" fillId="9" borderId="10" xfId="0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1" fillId="6" borderId="10" xfId="5" applyNumberFormat="1" applyFont="1" applyFill="1" applyBorder="1" applyAlignment="1">
      <alignment vertical="center"/>
    </xf>
    <xf numFmtId="2" fontId="1" fillId="6" borderId="10" xfId="5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2" fontId="1" fillId="6" borderId="11" xfId="5" applyNumberFormat="1" applyFont="1" applyFill="1" applyBorder="1" applyAlignment="1">
      <alignment horizontal="center" vertical="center"/>
    </xf>
    <xf numFmtId="165" fontId="1" fillId="9" borderId="11" xfId="5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2" fillId="10" borderId="9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vertical="center"/>
    </xf>
    <xf numFmtId="2" fontId="1" fillId="10" borderId="10" xfId="0" applyNumberFormat="1" applyFont="1" applyFill="1" applyBorder="1" applyAlignment="1">
      <alignment horizontal="center"/>
    </xf>
    <xf numFmtId="2" fontId="1" fillId="10" borderId="10" xfId="0" applyNumberFormat="1" applyFont="1" applyFill="1" applyBorder="1" applyAlignment="1">
      <alignment horizontal="center" vertical="center" wrapText="1"/>
    </xf>
    <xf numFmtId="165" fontId="1" fillId="10" borderId="10" xfId="5" applyFont="1" applyFill="1" applyBorder="1" applyAlignment="1">
      <alignment vertical="center"/>
    </xf>
    <xf numFmtId="2" fontId="2" fillId="10" borderId="10" xfId="0" applyNumberFormat="1" applyFont="1" applyFill="1" applyBorder="1" applyAlignment="1">
      <alignment horizontal="center" vertical="center" wrapText="1"/>
    </xf>
    <xf numFmtId="2" fontId="1" fillId="10" borderId="10" xfId="5" applyNumberFormat="1" applyFont="1" applyFill="1" applyBorder="1" applyAlignment="1">
      <alignment vertical="center"/>
    </xf>
    <xf numFmtId="2" fontId="1" fillId="10" borderId="10" xfId="5" applyNumberFormat="1" applyFont="1" applyFill="1" applyBorder="1" applyAlignment="1">
      <alignment horizontal="center" vertical="center"/>
    </xf>
    <xf numFmtId="2" fontId="1" fillId="10" borderId="11" xfId="5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/>
    </xf>
    <xf numFmtId="0" fontId="17" fillId="10" borderId="10" xfId="0" applyFont="1" applyFill="1" applyBorder="1" applyAlignment="1"/>
    <xf numFmtId="0" fontId="17" fillId="9" borderId="10" xfId="0" applyFont="1" applyFill="1" applyBorder="1" applyAlignment="1"/>
    <xf numFmtId="165" fontId="2" fillId="6" borderId="21" xfId="0" applyNumberFormat="1" applyFont="1" applyFill="1" applyBorder="1"/>
    <xf numFmtId="0" fontId="0" fillId="6" borderId="69" xfId="0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7" fillId="6" borderId="35" xfId="0" applyFont="1" applyFill="1" applyBorder="1" applyAlignment="1" applyProtection="1">
      <alignment horizontal="right" vertical="center"/>
    </xf>
    <xf numFmtId="9" fontId="7" fillId="6" borderId="35" xfId="0" applyNumberFormat="1" applyFont="1" applyFill="1" applyBorder="1" applyAlignment="1" applyProtection="1">
      <alignment horizontal="left" vertical="center"/>
    </xf>
    <xf numFmtId="14" fontId="2" fillId="6" borderId="3" xfId="0" applyNumberFormat="1" applyFont="1" applyFill="1" applyBorder="1" applyAlignment="1">
      <alignment horizontal="right" vertical="center"/>
    </xf>
    <xf numFmtId="2" fontId="23" fillId="10" borderId="10" xfId="5" applyNumberFormat="1" applyFont="1" applyFill="1" applyBorder="1" applyAlignment="1">
      <alignment horizontal="center" vertical="center"/>
    </xf>
    <xf numFmtId="165" fontId="23" fillId="6" borderId="10" xfId="5" applyFont="1" applyFill="1" applyBorder="1" applyAlignment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8" applyFont="1" applyProtection="1"/>
    <xf numFmtId="0" fontId="2" fillId="0" borderId="0" xfId="8" applyFont="1" applyAlignment="1" applyProtection="1">
      <alignment horizontal="center"/>
    </xf>
    <xf numFmtId="0" fontId="3" fillId="0" borderId="0" xfId="8" applyFont="1" applyAlignment="1" applyProtection="1">
      <alignment horizontal="center"/>
    </xf>
    <xf numFmtId="0" fontId="2" fillId="0" borderId="10" xfId="8" applyFont="1" applyBorder="1" applyAlignment="1" applyProtection="1">
      <alignment horizontal="center"/>
    </xf>
    <xf numFmtId="10" fontId="24" fillId="0" borderId="10" xfId="8" applyNumberFormat="1" applyFont="1" applyFill="1" applyBorder="1" applyAlignment="1" applyProtection="1">
      <alignment horizontal="center"/>
    </xf>
    <xf numFmtId="0" fontId="25" fillId="0" borderId="0" xfId="8" applyFont="1" applyAlignment="1" applyProtection="1"/>
    <xf numFmtId="0" fontId="2" fillId="0" borderId="0" xfId="8" applyFont="1" applyProtection="1"/>
    <xf numFmtId="0" fontId="2" fillId="0" borderId="10" xfId="8" applyFont="1" applyFill="1" applyBorder="1" applyAlignment="1" applyProtection="1">
      <alignment horizontal="center" vertical="center" wrapText="1"/>
    </xf>
    <xf numFmtId="0" fontId="20" fillId="0" borderId="10" xfId="8" applyFont="1" applyBorder="1" applyAlignment="1" applyProtection="1">
      <alignment horizontal="center" vertical="center"/>
    </xf>
    <xf numFmtId="10" fontId="20" fillId="12" borderId="10" xfId="8" applyNumberFormat="1" applyFont="1" applyFill="1" applyBorder="1" applyAlignment="1" applyProtection="1">
      <alignment horizontal="center" vertical="center"/>
      <protection locked="0"/>
    </xf>
    <xf numFmtId="4" fontId="6" fillId="0" borderId="10" xfId="8" applyNumberFormat="1" applyFont="1" applyFill="1" applyBorder="1" applyAlignment="1" applyProtection="1">
      <alignment horizontal="center" vertical="center"/>
    </xf>
    <xf numFmtId="10" fontId="20" fillId="0" borderId="10" xfId="8" applyNumberFormat="1" applyFont="1" applyFill="1" applyBorder="1" applyAlignment="1" applyProtection="1">
      <alignment horizontal="center" vertical="center"/>
    </xf>
    <xf numFmtId="10" fontId="20" fillId="0" borderId="10" xfId="8" applyNumberFormat="1" applyFont="1" applyFill="1" applyBorder="1" applyAlignment="1" applyProtection="1">
      <alignment horizontal="center" vertical="center" wrapText="1"/>
    </xf>
    <xf numFmtId="0" fontId="20" fillId="0" borderId="10" xfId="8" applyFont="1" applyFill="1" applyBorder="1" applyAlignment="1" applyProtection="1">
      <alignment horizontal="center" vertical="center" wrapText="1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10" fontId="26" fillId="0" borderId="0" xfId="8" applyNumberFormat="1" applyFont="1" applyFill="1" applyBorder="1" applyAlignment="1" applyProtection="1">
      <alignment horizontal="center" vertical="center"/>
    </xf>
    <xf numFmtId="4" fontId="6" fillId="0" borderId="0" xfId="8" applyNumberFormat="1" applyFont="1" applyFill="1" applyBorder="1" applyAlignment="1" applyProtection="1">
      <alignment horizontal="center" vertical="center" wrapText="1"/>
    </xf>
    <xf numFmtId="0" fontId="28" fillId="0" borderId="10" xfId="8" applyFont="1" applyBorder="1" applyAlignment="1" applyProtection="1">
      <alignment horizontal="center" vertical="center"/>
    </xf>
    <xf numFmtId="0" fontId="1" fillId="0" borderId="0" xfId="8" applyFont="1" applyBorder="1" applyAlignment="1" applyProtection="1">
      <alignment horizontal="center" vertical="top"/>
    </xf>
    <xf numFmtId="0" fontId="32" fillId="0" borderId="0" xfId="8" applyFont="1" applyBorder="1" applyAlignment="1" applyProtection="1">
      <alignment horizontal="center" vertical="top"/>
    </xf>
    <xf numFmtId="172" fontId="1" fillId="0" borderId="0" xfId="8" applyNumberFormat="1" applyFont="1" applyAlignment="1" applyProtection="1"/>
    <xf numFmtId="0" fontId="2" fillId="0" borderId="27" xfId="8" applyFont="1" applyBorder="1" applyAlignment="1" applyProtection="1">
      <alignment horizontal="left"/>
    </xf>
    <xf numFmtId="0" fontId="1" fillId="0" borderId="27" xfId="8" applyFont="1" applyBorder="1" applyProtection="1"/>
    <xf numFmtId="0" fontId="20" fillId="0" borderId="0" xfId="8" applyFont="1" applyBorder="1" applyProtection="1"/>
    <xf numFmtId="0" fontId="1" fillId="0" borderId="0" xfId="8" applyFont="1" applyBorder="1" applyProtection="1"/>
    <xf numFmtId="0" fontId="2" fillId="0" borderId="0" xfId="11" applyFont="1" applyBorder="1" applyAlignment="1" applyProtection="1">
      <alignment horizontal="left" vertical="top"/>
    </xf>
    <xf numFmtId="0" fontId="20" fillId="0" borderId="0" xfId="8" applyFont="1" applyProtection="1"/>
    <xf numFmtId="0" fontId="7" fillId="6" borderId="27" xfId="0" applyFont="1" applyFill="1" applyBorder="1" applyAlignment="1" applyProtection="1">
      <alignment horizontal="left" vertical="center"/>
    </xf>
    <xf numFmtId="0" fontId="7" fillId="6" borderId="27" xfId="0" applyFont="1" applyFill="1" applyBorder="1" applyAlignment="1" applyProtection="1">
      <alignment vertical="center"/>
    </xf>
    <xf numFmtId="0" fontId="7" fillId="6" borderId="29" xfId="0" applyFont="1" applyFill="1" applyBorder="1" applyAlignment="1" applyProtection="1">
      <alignment horizontal="left" vertical="center"/>
    </xf>
    <xf numFmtId="0" fontId="7" fillId="6" borderId="29" xfId="0" applyFont="1" applyFill="1" applyBorder="1" applyAlignment="1" applyProtection="1">
      <alignment vertical="center"/>
    </xf>
    <xf numFmtId="0" fontId="22" fillId="6" borderId="2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2" fontId="2" fillId="13" borderId="10" xfId="0" applyNumberFormat="1" applyFont="1" applyFill="1" applyBorder="1" applyAlignment="1">
      <alignment vertical="center" wrapText="1"/>
    </xf>
    <xf numFmtId="0" fontId="0" fillId="3" borderId="27" xfId="0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0" fillId="6" borderId="27" xfId="0" applyFill="1" applyBorder="1" applyAlignment="1" applyProtection="1">
      <alignment vertical="center"/>
    </xf>
    <xf numFmtId="0" fontId="1" fillId="6" borderId="27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7" fillId="6" borderId="62" xfId="0" applyFont="1" applyFill="1" applyBorder="1" applyAlignment="1" applyProtection="1">
      <alignment horizontal="left" vertical="center"/>
    </xf>
    <xf numFmtId="0" fontId="7" fillId="6" borderId="72" xfId="0" applyFont="1" applyFill="1" applyBorder="1" applyAlignment="1" applyProtection="1">
      <alignment vertical="center"/>
    </xf>
    <xf numFmtId="0" fontId="7" fillId="6" borderId="53" xfId="0" applyFont="1" applyFill="1" applyBorder="1" applyAlignment="1" applyProtection="1">
      <alignment horizontal="left" vertical="center"/>
    </xf>
    <xf numFmtId="0" fontId="7" fillId="6" borderId="71" xfId="0" applyFont="1" applyFill="1" applyBorder="1" applyAlignment="1" applyProtection="1">
      <alignment vertical="center"/>
    </xf>
    <xf numFmtId="0" fontId="7" fillId="6" borderId="73" xfId="0" applyFont="1" applyFill="1" applyBorder="1" applyAlignment="1" applyProtection="1">
      <alignment horizontal="left" vertical="center"/>
    </xf>
    <xf numFmtId="0" fontId="7" fillId="6" borderId="74" xfId="0" applyFont="1" applyFill="1" applyBorder="1" applyAlignment="1" applyProtection="1">
      <alignment horizontal="left" vertical="center"/>
    </xf>
    <xf numFmtId="0" fontId="7" fillId="6" borderId="75" xfId="0" applyFont="1" applyFill="1" applyBorder="1" applyAlignment="1" applyProtection="1">
      <alignment horizontal="left" vertical="center"/>
    </xf>
    <xf numFmtId="0" fontId="11" fillId="11" borderId="42" xfId="0" applyFont="1" applyFill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11" fillId="11" borderId="74" xfId="0" applyFont="1" applyFill="1" applyBorder="1" applyAlignment="1" applyProtection="1">
      <alignment vertical="center"/>
      <protection locked="0"/>
    </xf>
    <xf numFmtId="0" fontId="0" fillId="3" borderId="62" xfId="0" applyFill="1" applyBorder="1" applyAlignment="1" applyProtection="1">
      <alignment vertical="center"/>
    </xf>
    <xf numFmtId="0" fontId="0" fillId="6" borderId="62" xfId="0" applyFill="1" applyBorder="1" applyAlignment="1" applyProtection="1">
      <alignment vertical="center"/>
    </xf>
    <xf numFmtId="0" fontId="0" fillId="6" borderId="72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6" borderId="82" xfId="0" applyFill="1" applyBorder="1" applyAlignment="1" applyProtection="1">
      <alignment vertical="center"/>
    </xf>
    <xf numFmtId="0" fontId="8" fillId="9" borderId="42" xfId="0" applyFont="1" applyFill="1" applyBorder="1" applyAlignment="1" applyProtection="1">
      <alignment horizontal="center" vertical="center"/>
      <protection locked="0"/>
    </xf>
    <xf numFmtId="0" fontId="8" fillId="9" borderId="50" xfId="0" applyFont="1" applyFill="1" applyBorder="1" applyAlignment="1" applyProtection="1">
      <alignment horizontal="center" vertical="center"/>
      <protection locked="0"/>
    </xf>
    <xf numFmtId="0" fontId="33" fillId="11" borderId="32" xfId="0" applyFont="1" applyFill="1" applyBorder="1" applyAlignment="1" applyProtection="1">
      <alignment horizontal="center" vertical="center"/>
      <protection locked="0"/>
    </xf>
    <xf numFmtId="0" fontId="33" fillId="11" borderId="39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 wrapText="1"/>
    </xf>
    <xf numFmtId="0" fontId="2" fillId="9" borderId="14" xfId="0" applyFont="1" applyFill="1" applyBorder="1" applyAlignment="1">
      <alignment vertical="center" wrapText="1"/>
    </xf>
    <xf numFmtId="165" fontId="2" fillId="9" borderId="14" xfId="5" applyFont="1" applyFill="1" applyBorder="1" applyAlignment="1">
      <alignment vertical="center"/>
    </xf>
    <xf numFmtId="165" fontId="2" fillId="9" borderId="10" xfId="5" applyFont="1" applyFill="1" applyBorder="1" applyAlignment="1">
      <alignment vertical="center"/>
    </xf>
    <xf numFmtId="166" fontId="2" fillId="9" borderId="10" xfId="5" applyNumberFormat="1" applyFont="1" applyFill="1" applyBorder="1" applyAlignment="1">
      <alignment vertical="center"/>
    </xf>
    <xf numFmtId="165" fontId="2" fillId="9" borderId="11" xfId="5" applyFont="1" applyFill="1" applyBorder="1" applyAlignment="1">
      <alignment vertical="center"/>
    </xf>
    <xf numFmtId="165" fontId="2" fillId="9" borderId="12" xfId="5" applyFont="1" applyFill="1" applyBorder="1" applyAlignment="1">
      <alignment vertical="center"/>
    </xf>
    <xf numFmtId="165" fontId="2" fillId="9" borderId="23" xfId="5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 wrapText="1"/>
    </xf>
    <xf numFmtId="4" fontId="2" fillId="9" borderId="10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vertical="center" wrapText="1"/>
      <protection locked="0"/>
    </xf>
    <xf numFmtId="0" fontId="8" fillId="9" borderId="10" xfId="0" applyFont="1" applyFill="1" applyBorder="1" applyAlignment="1" applyProtection="1">
      <alignment vertical="center" wrapText="1"/>
      <protection locked="0"/>
    </xf>
    <xf numFmtId="0" fontId="2" fillId="9" borderId="10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vertical="center" wrapText="1"/>
      <protection locked="0"/>
    </xf>
    <xf numFmtId="2" fontId="8" fillId="6" borderId="10" xfId="0" applyNumberFormat="1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4" fontId="2" fillId="9" borderId="10" xfId="0" applyNumberFormat="1" applyFont="1" applyFill="1" applyBorder="1" applyAlignment="1">
      <alignment horizontal="left" vertical="center" wrapText="1"/>
    </xf>
    <xf numFmtId="165" fontId="2" fillId="8" borderId="67" xfId="0" applyNumberFormat="1" applyFont="1" applyFill="1" applyBorder="1"/>
    <xf numFmtId="0" fontId="22" fillId="3" borderId="36" xfId="0" applyFont="1" applyFill="1" applyBorder="1" applyAlignment="1" applyProtection="1">
      <alignment horizontal="right" vertical="center"/>
    </xf>
    <xf numFmtId="0" fontId="6" fillId="6" borderId="6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165" fontId="2" fillId="8" borderId="11" xfId="5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165" fontId="2" fillId="8" borderId="21" xfId="5" applyFont="1" applyFill="1" applyBorder="1" applyAlignment="1">
      <alignment vertical="center"/>
    </xf>
    <xf numFmtId="165" fontId="2" fillId="8" borderId="65" xfId="5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2" fontId="4" fillId="6" borderId="9" xfId="5" applyNumberFormat="1" applyFont="1" applyFill="1" applyBorder="1" applyAlignment="1">
      <alignment horizontal="center" vertical="center"/>
    </xf>
    <xf numFmtId="2" fontId="1" fillId="10" borderId="9" xfId="5" applyNumberFormat="1" applyFont="1" applyFill="1" applyBorder="1" applyAlignment="1">
      <alignment horizontal="center" vertical="center"/>
    </xf>
    <xf numFmtId="2" fontId="1" fillId="6" borderId="9" xfId="5" applyNumberFormat="1" applyFont="1" applyFill="1" applyBorder="1" applyAlignment="1">
      <alignment horizontal="center" vertical="center"/>
    </xf>
    <xf numFmtId="0" fontId="0" fillId="6" borderId="77" xfId="0" applyFill="1" applyBorder="1" applyAlignment="1">
      <alignment vertical="center"/>
    </xf>
    <xf numFmtId="0" fontId="2" fillId="6" borderId="83" xfId="0" applyFont="1" applyFill="1" applyBorder="1" applyAlignment="1">
      <alignment horizontal="center" vertical="center"/>
    </xf>
    <xf numFmtId="165" fontId="2" fillId="8" borderId="64" xfId="5" applyFont="1" applyFill="1" applyBorder="1" applyAlignment="1">
      <alignment vertical="center"/>
    </xf>
    <xf numFmtId="165" fontId="2" fillId="8" borderId="9" xfId="5" applyFont="1" applyFill="1" applyBorder="1" applyAlignment="1">
      <alignment vertical="center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/>
    </xf>
    <xf numFmtId="0" fontId="34" fillId="3" borderId="27" xfId="0" applyFont="1" applyFill="1" applyBorder="1" applyAlignment="1" applyProtection="1">
      <alignment vertical="center"/>
    </xf>
    <xf numFmtId="0" fontId="6" fillId="6" borderId="69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 wrapText="1"/>
    </xf>
    <xf numFmtId="4" fontId="15" fillId="0" borderId="0" xfId="5" applyNumberFormat="1" applyFont="1" applyFill="1" applyBorder="1" applyAlignment="1" applyProtection="1">
      <alignment horizontal="right" vertical="center"/>
      <protection locked="0"/>
    </xf>
    <xf numFmtId="0" fontId="0" fillId="14" borderId="0" xfId="0" applyFill="1" applyBorder="1"/>
    <xf numFmtId="0" fontId="0" fillId="14" borderId="0" xfId="0" applyFill="1" applyBorder="1" applyAlignment="1">
      <alignment wrapText="1"/>
    </xf>
    <xf numFmtId="0" fontId="2" fillId="14" borderId="57" xfId="0" applyFont="1" applyFill="1" applyBorder="1" applyAlignment="1">
      <alignment horizontal="center" vertical="center"/>
    </xf>
    <xf numFmtId="0" fontId="2" fillId="14" borderId="58" xfId="0" applyFont="1" applyFill="1" applyBorder="1" applyAlignment="1">
      <alignment horizontal="center" vertical="center"/>
    </xf>
    <xf numFmtId="0" fontId="2" fillId="14" borderId="58" xfId="0" applyFont="1" applyFill="1" applyBorder="1" applyAlignment="1">
      <alignment horizontal="center" vertical="center" wrapText="1"/>
    </xf>
    <xf numFmtId="49" fontId="35" fillId="14" borderId="89" xfId="0" applyNumberFormat="1" applyFont="1" applyFill="1" applyBorder="1" applyAlignment="1">
      <alignment horizontal="center" vertical="top" wrapText="1"/>
    </xf>
    <xf numFmtId="10" fontId="35" fillId="14" borderId="89" xfId="0" applyNumberFormat="1" applyFont="1" applyFill="1" applyBorder="1" applyAlignment="1">
      <alignment vertical="top" wrapText="1"/>
    </xf>
    <xf numFmtId="49" fontId="35" fillId="14" borderId="23" xfId="0" applyNumberFormat="1" applyFont="1" applyFill="1" applyBorder="1" applyAlignment="1">
      <alignment horizontal="center" vertical="top" wrapText="1"/>
    </xf>
    <xf numFmtId="4" fontId="35" fillId="14" borderId="23" xfId="0" applyNumberFormat="1" applyFont="1" applyFill="1" applyBorder="1" applyAlignment="1">
      <alignment vertical="top" wrapText="1"/>
    </xf>
    <xf numFmtId="49" fontId="35" fillId="14" borderId="92" xfId="0" applyNumberFormat="1" applyFont="1" applyFill="1" applyBorder="1" applyAlignment="1">
      <alignment horizontal="center" vertical="top" wrapText="1"/>
    </xf>
    <xf numFmtId="49" fontId="36" fillId="14" borderId="38" xfId="0" applyNumberFormat="1" applyFont="1" applyFill="1" applyBorder="1" applyAlignment="1">
      <alignment horizontal="center" vertical="top" wrapText="1"/>
    </xf>
    <xf numFmtId="10" fontId="36" fillId="14" borderId="38" xfId="0" applyNumberFormat="1" applyFont="1" applyFill="1" applyBorder="1" applyAlignment="1">
      <alignment vertical="top" wrapText="1"/>
    </xf>
    <xf numFmtId="49" fontId="36" fillId="14" borderId="93" xfId="0" applyNumberFormat="1" applyFont="1" applyFill="1" applyBorder="1" applyAlignment="1">
      <alignment horizontal="center" vertical="top" wrapText="1"/>
    </xf>
    <xf numFmtId="173" fontId="36" fillId="14" borderId="93" xfId="0" applyNumberFormat="1" applyFont="1" applyFill="1" applyBorder="1" applyAlignment="1">
      <alignment vertical="top" wrapText="1"/>
    </xf>
    <xf numFmtId="0" fontId="0" fillId="14" borderId="0" xfId="0" applyFill="1" applyBorder="1" applyAlignment="1">
      <alignment vertical="center"/>
    </xf>
    <xf numFmtId="0" fontId="0" fillId="14" borderId="0" xfId="0" applyFill="1" applyBorder="1" applyAlignment="1">
      <alignment vertical="center" wrapText="1"/>
    </xf>
    <xf numFmtId="0" fontId="2" fillId="14" borderId="7" xfId="0" applyFont="1" applyFill="1" applyBorder="1" applyAlignment="1">
      <alignment wrapText="1"/>
    </xf>
    <xf numFmtId="0" fontId="2" fillId="14" borderId="8" xfId="0" applyFont="1" applyFill="1" applyBorder="1" applyAlignment="1">
      <alignment wrapText="1"/>
    </xf>
    <xf numFmtId="0" fontId="2" fillId="14" borderId="68" xfId="0" applyFont="1" applyFill="1" applyBorder="1" applyAlignment="1">
      <alignment wrapText="1"/>
    </xf>
    <xf numFmtId="0" fontId="0" fillId="14" borderId="94" xfId="0" applyFill="1" applyBorder="1"/>
    <xf numFmtId="0" fontId="2" fillId="14" borderId="1" xfId="0" applyFont="1" applyFill="1" applyBorder="1" applyAlignment="1">
      <alignment wrapText="1"/>
    </xf>
    <xf numFmtId="0" fontId="0" fillId="0" borderId="29" xfId="0" applyBorder="1" applyAlignment="1">
      <alignment vertical="center"/>
    </xf>
    <xf numFmtId="0" fontId="2" fillId="14" borderId="0" xfId="0" applyFont="1" applyFill="1" applyBorder="1" applyAlignment="1">
      <alignment wrapText="1"/>
    </xf>
    <xf numFmtId="0" fontId="2" fillId="14" borderId="29" xfId="0" applyFont="1" applyFill="1" applyBorder="1" applyAlignment="1">
      <alignment wrapText="1"/>
    </xf>
    <xf numFmtId="0" fontId="0" fillId="0" borderId="25" xfId="0" applyBorder="1" applyAlignment="1">
      <alignment vertical="center"/>
    </xf>
    <xf numFmtId="0" fontId="2" fillId="14" borderId="13" xfId="0" applyFont="1" applyFill="1" applyBorder="1"/>
    <xf numFmtId="0" fontId="2" fillId="14" borderId="1" xfId="0" applyFont="1" applyFill="1" applyBorder="1"/>
    <xf numFmtId="0" fontId="37" fillId="0" borderId="25" xfId="0" applyFont="1" applyBorder="1" applyAlignment="1">
      <alignment vertical="center"/>
    </xf>
    <xf numFmtId="0" fontId="0" fillId="14" borderId="13" xfId="0" applyFill="1" applyBorder="1"/>
    <xf numFmtId="0" fontId="1" fillId="14" borderId="1" xfId="0" applyFont="1" applyFill="1" applyBorder="1"/>
    <xf numFmtId="0" fontId="1" fillId="14" borderId="0" xfId="0" applyFont="1" applyFill="1" applyBorder="1"/>
    <xf numFmtId="0" fontId="0" fillId="14" borderId="25" xfId="0" applyFill="1" applyBorder="1"/>
    <xf numFmtId="0" fontId="8" fillId="14" borderId="1" xfId="0" applyFont="1" applyFill="1" applyBorder="1"/>
    <xf numFmtId="0" fontId="8" fillId="14" borderId="0" xfId="0" applyFont="1" applyFill="1" applyBorder="1" applyAlignment="1">
      <alignment wrapText="1"/>
    </xf>
    <xf numFmtId="0" fontId="2" fillId="14" borderId="0" xfId="0" applyFont="1" applyFill="1" applyBorder="1" applyAlignment="1">
      <alignment horizontal="right"/>
    </xf>
    <xf numFmtId="0" fontId="7" fillId="14" borderId="1" xfId="0" applyFont="1" applyFill="1" applyBorder="1"/>
    <xf numFmtId="0" fontId="7" fillId="14" borderId="0" xfId="0" applyFont="1" applyFill="1" applyBorder="1" applyAlignment="1">
      <alignment wrapText="1"/>
    </xf>
    <xf numFmtId="0" fontId="7" fillId="0" borderId="10" xfId="0" applyFont="1" applyBorder="1" applyAlignment="1" applyProtection="1">
      <alignment horizontal="center" vertical="center"/>
    </xf>
    <xf numFmtId="49" fontId="11" fillId="9" borderId="30" xfId="0" applyNumberFormat="1" applyFont="1" applyFill="1" applyBorder="1" applyAlignment="1" applyProtection="1">
      <alignment horizontal="center" vertical="center"/>
      <protection locked="0"/>
    </xf>
    <xf numFmtId="49" fontId="11" fillId="9" borderId="51" xfId="0" applyNumberFormat="1" applyFont="1" applyFill="1" applyBorder="1" applyAlignment="1" applyProtection="1">
      <alignment horizontal="center" vertical="center"/>
      <protection locked="0"/>
    </xf>
    <xf numFmtId="4" fontId="8" fillId="9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9" borderId="31" xfId="0" applyFont="1" applyFill="1" applyBorder="1" applyAlignment="1" applyProtection="1">
      <alignment horizontal="left" vertical="center" wrapText="1"/>
      <protection locked="0"/>
    </xf>
    <xf numFmtId="0" fontId="8" fillId="9" borderId="51" xfId="0" applyFont="1" applyFill="1" applyBorder="1" applyAlignment="1" applyProtection="1">
      <alignment horizontal="left" vertical="center" wrapText="1"/>
      <protection locked="0"/>
    </xf>
    <xf numFmtId="4" fontId="15" fillId="0" borderId="0" xfId="5" applyNumberFormat="1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center" vertical="center"/>
      <protection locked="0"/>
    </xf>
    <xf numFmtId="4" fontId="7" fillId="0" borderId="0" xfId="5" applyNumberFormat="1" applyFont="1" applyFill="1" applyBorder="1" applyAlignment="1" applyProtection="1">
      <alignment horizontal="right" vertical="center"/>
      <protection locked="0"/>
    </xf>
    <xf numFmtId="0" fontId="11" fillId="9" borderId="30" xfId="0" applyFont="1" applyFill="1" applyBorder="1" applyAlignment="1" applyProtection="1">
      <alignment horizontal="center" vertical="center"/>
      <protection locked="0"/>
    </xf>
    <xf numFmtId="0" fontId="11" fillId="9" borderId="51" xfId="0" applyFont="1" applyFill="1" applyBorder="1" applyAlignment="1" applyProtection="1">
      <alignment horizontal="center" vertical="center"/>
      <protection locked="0"/>
    </xf>
    <xf numFmtId="4" fontId="11" fillId="9" borderId="32" xfId="0" applyNumberFormat="1" applyFont="1" applyFill="1" applyBorder="1" applyAlignment="1" applyProtection="1">
      <alignment horizontal="right" vertical="center"/>
      <protection locked="0"/>
    </xf>
    <xf numFmtId="4" fontId="11" fillId="9" borderId="33" xfId="0" applyNumberFormat="1" applyFont="1" applyFill="1" applyBorder="1" applyAlignment="1" applyProtection="1">
      <alignment horizontal="right" vertical="center"/>
      <protection locked="0"/>
    </xf>
    <xf numFmtId="4" fontId="11" fillId="9" borderId="39" xfId="0" applyNumberFormat="1" applyFont="1" applyFill="1" applyBorder="1" applyAlignment="1" applyProtection="1">
      <alignment horizontal="right" vertical="center"/>
      <protection locked="0"/>
    </xf>
    <xf numFmtId="4" fontId="19" fillId="9" borderId="47" xfId="5" applyNumberFormat="1" applyFont="1" applyFill="1" applyBorder="1" applyAlignment="1" applyProtection="1">
      <alignment horizontal="right" vertical="center"/>
      <protection locked="0"/>
    </xf>
    <xf numFmtId="4" fontId="19" fillId="9" borderId="48" xfId="5" applyNumberFormat="1" applyFont="1" applyFill="1" applyBorder="1" applyAlignment="1" applyProtection="1">
      <alignment horizontal="right" vertical="center"/>
      <protection locked="0"/>
    </xf>
    <xf numFmtId="4" fontId="19" fillId="9" borderId="52" xfId="5" applyNumberFormat="1" applyFont="1" applyFill="1" applyBorder="1" applyAlignment="1" applyProtection="1">
      <alignment horizontal="right" vertical="center"/>
      <protection locked="0"/>
    </xf>
    <xf numFmtId="4" fontId="7" fillId="9" borderId="47" xfId="5" applyNumberFormat="1" applyFont="1" applyFill="1" applyBorder="1" applyAlignment="1" applyProtection="1">
      <alignment horizontal="right" vertical="center"/>
    </xf>
    <xf numFmtId="4" fontId="7" fillId="9" borderId="48" xfId="5" applyNumberFormat="1" applyFont="1" applyFill="1" applyBorder="1" applyAlignment="1" applyProtection="1">
      <alignment horizontal="right" vertical="center"/>
    </xf>
    <xf numFmtId="4" fontId="7" fillId="9" borderId="49" xfId="5" applyNumberFormat="1" applyFont="1" applyFill="1" applyBorder="1" applyAlignment="1" applyProtection="1">
      <alignment horizontal="right" vertical="center"/>
    </xf>
    <xf numFmtId="4" fontId="11" fillId="5" borderId="23" xfId="5" applyNumberFormat="1" applyFont="1" applyFill="1" applyBorder="1" applyAlignment="1" applyProtection="1">
      <alignment horizontal="right" vertical="center"/>
    </xf>
    <xf numFmtId="4" fontId="11" fillId="5" borderId="79" xfId="5" applyNumberFormat="1" applyFont="1" applyFill="1" applyBorder="1" applyAlignment="1" applyProtection="1">
      <alignment horizontal="right" vertical="center"/>
    </xf>
    <xf numFmtId="0" fontId="8" fillId="11" borderId="32" xfId="0" applyFont="1" applyFill="1" applyBorder="1" applyAlignment="1" applyProtection="1">
      <alignment horizontal="right" vertical="center" wrapText="1"/>
      <protection locked="0"/>
    </xf>
    <xf numFmtId="0" fontId="8" fillId="11" borderId="33" xfId="0" applyFont="1" applyFill="1" applyBorder="1" applyAlignment="1" applyProtection="1">
      <alignment horizontal="right" vertical="center" wrapText="1"/>
      <protection locked="0"/>
    </xf>
    <xf numFmtId="0" fontId="8" fillId="11" borderId="39" xfId="0" applyFont="1" applyFill="1" applyBorder="1" applyAlignment="1" applyProtection="1">
      <alignment horizontal="right" vertical="center" wrapText="1"/>
      <protection locked="0"/>
    </xf>
    <xf numFmtId="4" fontId="19" fillId="0" borderId="32" xfId="5" applyNumberFormat="1" applyFont="1" applyFill="1" applyBorder="1" applyAlignment="1" applyProtection="1">
      <alignment horizontal="center" vertical="center"/>
      <protection locked="0"/>
    </xf>
    <xf numFmtId="4" fontId="19" fillId="0" borderId="33" xfId="5" applyNumberFormat="1" applyFont="1" applyFill="1" applyBorder="1" applyAlignment="1" applyProtection="1">
      <alignment horizontal="center" vertical="center"/>
      <protection locked="0"/>
    </xf>
    <xf numFmtId="4" fontId="8" fillId="0" borderId="44" xfId="5" applyNumberFormat="1" applyFont="1" applyFill="1" applyBorder="1" applyAlignment="1" applyProtection="1">
      <alignment horizontal="right" vertical="center"/>
    </xf>
    <xf numFmtId="4" fontId="8" fillId="0" borderId="45" xfId="5" applyNumberFormat="1" applyFont="1" applyFill="1" applyBorder="1" applyAlignment="1" applyProtection="1">
      <alignment horizontal="right" vertical="center"/>
    </xf>
    <xf numFmtId="4" fontId="8" fillId="0" borderId="46" xfId="5" applyNumberFormat="1" applyFont="1" applyFill="1" applyBorder="1" applyAlignment="1" applyProtection="1">
      <alignment horizontal="right" vertical="center"/>
    </xf>
    <xf numFmtId="4" fontId="11" fillId="5" borderId="42" xfId="5" applyNumberFormat="1" applyFont="1" applyFill="1" applyBorder="1" applyAlignment="1" applyProtection="1">
      <alignment horizontal="right" vertical="center"/>
    </xf>
    <xf numFmtId="4" fontId="8" fillId="5" borderId="32" xfId="5" applyNumberFormat="1" applyFont="1" applyFill="1" applyBorder="1" applyAlignment="1" applyProtection="1">
      <alignment horizontal="right" vertical="center"/>
    </xf>
    <xf numFmtId="4" fontId="8" fillId="5" borderId="33" xfId="5" applyNumberFormat="1" applyFont="1" applyFill="1" applyBorder="1" applyAlignment="1" applyProtection="1">
      <alignment horizontal="right" vertical="center"/>
    </xf>
    <xf numFmtId="4" fontId="8" fillId="5" borderId="80" xfId="5" applyNumberFormat="1" applyFont="1" applyFill="1" applyBorder="1" applyAlignment="1" applyProtection="1">
      <alignment horizontal="right" vertical="center"/>
    </xf>
    <xf numFmtId="4" fontId="11" fillId="9" borderId="50" xfId="5" applyNumberFormat="1" applyFont="1" applyFill="1" applyBorder="1" applyAlignment="1" applyProtection="1">
      <alignment horizontal="right" vertical="center"/>
    </xf>
    <xf numFmtId="4" fontId="11" fillId="9" borderId="38" xfId="5" applyNumberFormat="1" applyFont="1" applyFill="1" applyBorder="1" applyAlignment="1" applyProtection="1">
      <alignment horizontal="right" vertical="center"/>
    </xf>
    <xf numFmtId="4" fontId="11" fillId="9" borderId="78" xfId="5" applyNumberFormat="1" applyFont="1" applyFill="1" applyBorder="1" applyAlignment="1" applyProtection="1">
      <alignment horizontal="right" vertical="center"/>
    </xf>
    <xf numFmtId="0" fontId="7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NumberFormat="1" applyFont="1" applyFill="1" applyBorder="1" applyAlignment="1" applyProtection="1">
      <alignment horizontal="center" vertical="center"/>
      <protection locked="0"/>
    </xf>
    <xf numFmtId="49" fontId="7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11" borderId="33" xfId="0" applyFont="1" applyFill="1" applyBorder="1" applyAlignment="1" applyProtection="1">
      <alignment horizontal="left" vertical="center" wrapText="1"/>
      <protection locked="0"/>
    </xf>
    <xf numFmtId="0" fontId="7" fillId="11" borderId="39" xfId="0" applyFont="1" applyFill="1" applyBorder="1" applyAlignment="1" applyProtection="1">
      <alignment horizontal="left" vertical="center" wrapText="1"/>
      <protection locked="0"/>
    </xf>
    <xf numFmtId="165" fontId="7" fillId="0" borderId="0" xfId="5" applyFont="1" applyFill="1" applyBorder="1" applyAlignment="1" applyProtection="1">
      <alignment horizontal="right" vertical="center"/>
      <protection locked="0"/>
    </xf>
    <xf numFmtId="0" fontId="18" fillId="4" borderId="53" xfId="0" applyFont="1" applyFill="1" applyBorder="1" applyAlignment="1" applyProtection="1">
      <alignment horizontal="left" vertical="center"/>
      <protection locked="0"/>
    </xf>
    <xf numFmtId="0" fontId="18" fillId="4" borderId="29" xfId="0" applyFont="1" applyFill="1" applyBorder="1" applyAlignment="1" applyProtection="1">
      <alignment horizontal="left" vertical="center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168" fontId="18" fillId="4" borderId="28" xfId="0" applyNumberFormat="1" applyFont="1" applyFill="1" applyBorder="1" applyAlignment="1" applyProtection="1">
      <alignment horizontal="left" vertical="center"/>
      <protection locked="0"/>
    </xf>
    <xf numFmtId="168" fontId="18" fillId="4" borderId="29" xfId="0" applyNumberFormat="1" applyFont="1" applyFill="1" applyBorder="1" applyAlignment="1" applyProtection="1">
      <alignment horizontal="left" vertical="center"/>
      <protection locked="0"/>
    </xf>
    <xf numFmtId="168" fontId="18" fillId="4" borderId="37" xfId="0" applyNumberFormat="1" applyFont="1" applyFill="1" applyBorder="1" applyAlignment="1" applyProtection="1">
      <alignment horizontal="left" vertical="center"/>
      <protection locked="0"/>
    </xf>
    <xf numFmtId="168" fontId="18" fillId="9" borderId="28" xfId="0" applyNumberFormat="1" applyFont="1" applyFill="1" applyBorder="1" applyAlignment="1" applyProtection="1">
      <alignment horizontal="left" vertical="center"/>
      <protection locked="0"/>
    </xf>
    <xf numFmtId="168" fontId="18" fillId="9" borderId="29" xfId="0" applyNumberFormat="1" applyFont="1" applyFill="1" applyBorder="1" applyAlignment="1" applyProtection="1">
      <alignment horizontal="left" vertical="center"/>
      <protection locked="0"/>
    </xf>
    <xf numFmtId="168" fontId="18" fillId="9" borderId="71" xfId="0" applyNumberFormat="1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22" fillId="3" borderId="55" xfId="0" applyFont="1" applyFill="1" applyBorder="1" applyAlignment="1" applyProtection="1">
      <alignment horizontal="right" vertical="center"/>
    </xf>
    <xf numFmtId="0" fontId="22" fillId="3" borderId="27" xfId="0" applyFont="1" applyFill="1" applyBorder="1" applyAlignment="1" applyProtection="1">
      <alignment horizontal="right" vertical="center"/>
    </xf>
    <xf numFmtId="0" fontId="22" fillId="3" borderId="36" xfId="0" applyFont="1" applyFill="1" applyBorder="1" applyAlignment="1" applyProtection="1">
      <alignment horizontal="right" vertical="center"/>
    </xf>
    <xf numFmtId="0" fontId="22" fillId="3" borderId="56" xfId="0" applyFont="1" applyFill="1" applyBorder="1" applyAlignment="1" applyProtection="1">
      <alignment horizontal="right" vertical="center"/>
    </xf>
    <xf numFmtId="0" fontId="22" fillId="3" borderId="29" xfId="0" applyFont="1" applyFill="1" applyBorder="1" applyAlignment="1" applyProtection="1">
      <alignment horizontal="right" vertical="center"/>
    </xf>
    <xf numFmtId="0" fontId="22" fillId="3" borderId="37" xfId="0" applyFont="1" applyFill="1" applyBorder="1" applyAlignment="1" applyProtection="1">
      <alignment horizontal="right" vertical="center"/>
    </xf>
    <xf numFmtId="10" fontId="22" fillId="5" borderId="26" xfId="3" applyNumberFormat="1" applyFont="1" applyFill="1" applyBorder="1" applyAlignment="1" applyProtection="1">
      <alignment horizontal="center" vertical="center"/>
    </xf>
    <xf numFmtId="10" fontId="22" fillId="5" borderId="27" xfId="3" applyNumberFormat="1" applyFont="1" applyFill="1" applyBorder="1" applyAlignment="1" applyProtection="1">
      <alignment horizontal="center" vertical="center"/>
    </xf>
    <xf numFmtId="10" fontId="22" fillId="5" borderId="72" xfId="3" applyNumberFormat="1" applyFont="1" applyFill="1" applyBorder="1" applyAlignment="1" applyProtection="1">
      <alignment horizontal="center" vertical="center"/>
    </xf>
    <xf numFmtId="10" fontId="22" fillId="5" borderId="28" xfId="3" applyNumberFormat="1" applyFont="1" applyFill="1" applyBorder="1" applyAlignment="1" applyProtection="1">
      <alignment horizontal="center" vertical="center"/>
    </xf>
    <xf numFmtId="10" fontId="22" fillId="5" borderId="29" xfId="3" applyNumberFormat="1" applyFont="1" applyFill="1" applyBorder="1" applyAlignment="1" applyProtection="1">
      <alignment horizontal="center" vertical="center"/>
    </xf>
    <xf numFmtId="10" fontId="22" fillId="5" borderId="71" xfId="3" applyNumberFormat="1" applyFont="1" applyFill="1" applyBorder="1" applyAlignment="1" applyProtection="1">
      <alignment horizontal="center" vertical="center"/>
    </xf>
    <xf numFmtId="10" fontId="7" fillId="6" borderId="31" xfId="0" applyNumberFormat="1" applyFont="1" applyFill="1" applyBorder="1" applyAlignment="1" applyProtection="1">
      <alignment horizontal="center" vertical="center"/>
    </xf>
    <xf numFmtId="0" fontId="8" fillId="3" borderId="70" xfId="0" applyFont="1" applyFill="1" applyBorder="1" applyAlignment="1" applyProtection="1">
      <alignment horizontal="center" vertical="center" textRotation="90"/>
    </xf>
    <xf numFmtId="0" fontId="8" fillId="3" borderId="76" xfId="0" applyFont="1" applyFill="1" applyBorder="1" applyAlignment="1" applyProtection="1">
      <alignment horizontal="center" vertical="center" textRotation="90"/>
    </xf>
    <xf numFmtId="0" fontId="8" fillId="3" borderId="77" xfId="0" applyFont="1" applyFill="1" applyBorder="1" applyAlignment="1" applyProtection="1">
      <alignment horizontal="center" vertical="center" textRotation="90"/>
    </xf>
    <xf numFmtId="0" fontId="8" fillId="3" borderId="36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169" fontId="8" fillId="3" borderId="26" xfId="0" applyNumberFormat="1" applyFont="1" applyFill="1" applyBorder="1" applyAlignment="1" applyProtection="1">
      <alignment horizontal="center" vertical="center"/>
    </xf>
    <xf numFmtId="169" fontId="8" fillId="3" borderId="27" xfId="0" applyNumberFormat="1" applyFont="1" applyFill="1" applyBorder="1" applyAlignment="1" applyProtection="1">
      <alignment horizontal="center" vertical="center"/>
    </xf>
    <xf numFmtId="169" fontId="8" fillId="3" borderId="36" xfId="0" applyNumberFormat="1" applyFont="1" applyFill="1" applyBorder="1" applyAlignment="1" applyProtection="1">
      <alignment horizontal="center" vertical="center"/>
    </xf>
    <xf numFmtId="169" fontId="8" fillId="3" borderId="13" xfId="0" applyNumberFormat="1" applyFont="1" applyFill="1" applyBorder="1" applyAlignment="1" applyProtection="1">
      <alignment horizontal="center" vertical="center"/>
    </xf>
    <xf numFmtId="169" fontId="8" fillId="3" borderId="0" xfId="0" applyNumberFormat="1" applyFont="1" applyFill="1" applyBorder="1" applyAlignment="1" applyProtection="1">
      <alignment horizontal="center" vertical="center"/>
    </xf>
    <xf numFmtId="169" fontId="8" fillId="3" borderId="25" xfId="0" applyNumberFormat="1" applyFont="1" applyFill="1" applyBorder="1" applyAlignment="1" applyProtection="1">
      <alignment horizontal="center" vertical="center"/>
    </xf>
    <xf numFmtId="169" fontId="8" fillId="3" borderId="28" xfId="0" applyNumberFormat="1" applyFont="1" applyFill="1" applyBorder="1" applyAlignment="1" applyProtection="1">
      <alignment horizontal="center" vertical="center"/>
    </xf>
    <xf numFmtId="169" fontId="8" fillId="3" borderId="29" xfId="0" applyNumberFormat="1" applyFont="1" applyFill="1" applyBorder="1" applyAlignment="1" applyProtection="1">
      <alignment horizontal="center" vertical="center"/>
    </xf>
    <xf numFmtId="169" fontId="8" fillId="3" borderId="37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3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71" xfId="0" applyFont="1" applyFill="1" applyBorder="1" applyAlignment="1" applyProtection="1">
      <alignment horizontal="center" vertical="center"/>
    </xf>
    <xf numFmtId="10" fontId="7" fillId="6" borderId="34" xfId="0" applyNumberFormat="1" applyFont="1" applyFill="1" applyBorder="1" applyAlignment="1" applyProtection="1">
      <alignment horizontal="center" vertical="center"/>
    </xf>
    <xf numFmtId="10" fontId="7" fillId="6" borderId="35" xfId="0" applyNumberFormat="1" applyFont="1" applyFill="1" applyBorder="1" applyAlignment="1" applyProtection="1">
      <alignment horizontal="center" vertical="center"/>
    </xf>
    <xf numFmtId="10" fontId="7" fillId="6" borderId="54" xfId="0" applyNumberFormat="1" applyFont="1" applyFill="1" applyBorder="1" applyAlignment="1" applyProtection="1">
      <alignment horizontal="center" vertical="center"/>
    </xf>
    <xf numFmtId="0" fontId="34" fillId="3" borderId="62" xfId="0" applyFont="1" applyFill="1" applyBorder="1" applyAlignment="1" applyProtection="1">
      <alignment horizontal="center" vertical="center"/>
    </xf>
    <xf numFmtId="0" fontId="34" fillId="3" borderId="27" xfId="0" applyFont="1" applyFill="1" applyBorder="1" applyAlignment="1" applyProtection="1">
      <alignment horizontal="center" vertical="center"/>
    </xf>
    <xf numFmtId="0" fontId="34" fillId="3" borderId="36" xfId="0" applyFont="1" applyFill="1" applyBorder="1" applyAlignment="1" applyProtection="1">
      <alignment horizontal="center" vertical="center"/>
    </xf>
    <xf numFmtId="0" fontId="34" fillId="3" borderId="53" xfId="0" applyFont="1" applyFill="1" applyBorder="1" applyAlignment="1" applyProtection="1">
      <alignment horizontal="center" vertical="center"/>
    </xf>
    <xf numFmtId="0" fontId="34" fillId="3" borderId="29" xfId="0" applyFont="1" applyFill="1" applyBorder="1" applyAlignment="1" applyProtection="1">
      <alignment horizontal="center" vertical="center"/>
    </xf>
    <xf numFmtId="0" fontId="34" fillId="3" borderId="37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right" vertical="center"/>
    </xf>
    <xf numFmtId="0" fontId="22" fillId="4" borderId="53" xfId="0" applyFont="1" applyFill="1" applyBorder="1" applyAlignment="1" applyProtection="1">
      <alignment horizontal="left" vertical="center"/>
      <protection locked="0"/>
    </xf>
    <xf numFmtId="0" fontId="22" fillId="4" borderId="29" xfId="0" applyFont="1" applyFill="1" applyBorder="1" applyAlignment="1" applyProtection="1">
      <alignment horizontal="left" vertical="center"/>
      <protection locked="0"/>
    </xf>
    <xf numFmtId="0" fontId="22" fillId="4" borderId="3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71" xfId="0" applyFont="1" applyFill="1" applyBorder="1" applyAlignment="1" applyProtection="1">
      <alignment horizontal="center" vertical="center"/>
      <protection locked="0"/>
    </xf>
    <xf numFmtId="0" fontId="22" fillId="4" borderId="53" xfId="0" applyFont="1" applyFill="1" applyBorder="1" applyAlignment="1" applyProtection="1">
      <alignment horizontal="left" vertical="center" wrapText="1"/>
      <protection locked="0"/>
    </xf>
    <xf numFmtId="0" fontId="22" fillId="4" borderId="29" xfId="0" applyFont="1" applyFill="1" applyBorder="1" applyAlignment="1" applyProtection="1">
      <alignment horizontal="left" vertical="center" wrapText="1"/>
      <protection locked="0"/>
    </xf>
    <xf numFmtId="0" fontId="22" fillId="4" borderId="37" xfId="0" applyFont="1" applyFill="1" applyBorder="1" applyAlignment="1" applyProtection="1">
      <alignment horizontal="left" vertical="center" wrapText="1"/>
      <protection locked="0"/>
    </xf>
    <xf numFmtId="0" fontId="22" fillId="4" borderId="28" xfId="0" applyFont="1" applyFill="1" applyBorder="1" applyAlignment="1" applyProtection="1">
      <alignment horizontal="left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4" borderId="71" xfId="0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left" vertical="center" wrapText="1"/>
    </xf>
    <xf numFmtId="0" fontId="20" fillId="0" borderId="72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29" xfId="0" applyFont="1" applyBorder="1" applyAlignment="1" applyProtection="1">
      <alignment horizontal="left" vertical="center" wrapText="1"/>
    </xf>
    <xf numFmtId="0" fontId="20" fillId="0" borderId="71" xfId="0" applyFont="1" applyBorder="1" applyAlignment="1" applyProtection="1">
      <alignment horizontal="left" vertical="center" wrapText="1"/>
    </xf>
    <xf numFmtId="10" fontId="7" fillId="6" borderId="33" xfId="0" applyNumberFormat="1" applyFont="1" applyFill="1" applyBorder="1" applyAlignment="1" applyProtection="1">
      <alignment horizontal="center" vertical="center"/>
    </xf>
    <xf numFmtId="10" fontId="7" fillId="6" borderId="39" xfId="0" applyNumberFormat="1" applyFont="1" applyFill="1" applyBorder="1" applyAlignment="1" applyProtection="1">
      <alignment horizontal="center" vertical="center"/>
    </xf>
    <xf numFmtId="10" fontId="7" fillId="4" borderId="33" xfId="3" applyNumberFormat="1" applyFont="1" applyFill="1" applyBorder="1" applyAlignment="1" applyProtection="1">
      <alignment horizontal="right" vertical="center"/>
      <protection locked="0"/>
    </xf>
    <xf numFmtId="10" fontId="7" fillId="4" borderId="39" xfId="3" applyNumberFormat="1" applyFont="1" applyFill="1" applyBorder="1" applyAlignment="1" applyProtection="1">
      <alignment horizontal="right" vertical="center"/>
      <protection locked="0"/>
    </xf>
    <xf numFmtId="10" fontId="7" fillId="6" borderId="51" xfId="0" applyNumberFormat="1" applyFont="1" applyFill="1" applyBorder="1" applyAlignment="1" applyProtection="1">
      <alignment horizontal="center" vertical="center"/>
    </xf>
    <xf numFmtId="10" fontId="7" fillId="4" borderId="31" xfId="3" applyNumberFormat="1" applyFont="1" applyFill="1" applyBorder="1" applyAlignment="1" applyProtection="1">
      <alignment horizontal="right" vertical="center"/>
      <protection locked="0"/>
    </xf>
    <xf numFmtId="10" fontId="7" fillId="4" borderId="51" xfId="3" applyNumberFormat="1" applyFont="1" applyFill="1" applyBorder="1" applyAlignment="1" applyProtection="1">
      <alignment horizontal="right" vertical="center"/>
      <protection locked="0"/>
    </xf>
    <xf numFmtId="10" fontId="7" fillId="4" borderId="35" xfId="3" applyNumberFormat="1" applyFont="1" applyFill="1" applyBorder="1" applyAlignment="1" applyProtection="1">
      <alignment horizontal="right" vertical="center"/>
      <protection locked="0"/>
    </xf>
    <xf numFmtId="10" fontId="7" fillId="4" borderId="54" xfId="3" applyNumberFormat="1" applyFont="1" applyFill="1" applyBorder="1" applyAlignment="1" applyProtection="1">
      <alignment horizontal="right" vertical="center"/>
      <protection locked="0"/>
    </xf>
    <xf numFmtId="0" fontId="33" fillId="11" borderId="32" xfId="0" applyFont="1" applyFill="1" applyBorder="1" applyAlignment="1" applyProtection="1">
      <alignment horizontal="center" vertical="center"/>
      <protection locked="0"/>
    </xf>
    <xf numFmtId="0" fontId="33" fillId="11" borderId="39" xfId="0" applyFont="1" applyFill="1" applyBorder="1" applyAlignment="1" applyProtection="1">
      <alignment horizontal="center" vertical="center"/>
      <protection locked="0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33" xfId="0" applyNumberFormat="1" applyFont="1" applyFill="1" applyBorder="1" applyAlignment="1" applyProtection="1">
      <alignment horizontal="right" vertical="center"/>
      <protection locked="0"/>
    </xf>
    <xf numFmtId="4" fontId="19" fillId="0" borderId="39" xfId="0" applyNumberFormat="1" applyFont="1" applyFill="1" applyBorder="1" applyAlignment="1" applyProtection="1">
      <alignment horizontal="right" vertical="center"/>
      <protection locked="0"/>
    </xf>
    <xf numFmtId="4" fontId="7" fillId="0" borderId="44" xfId="5" applyNumberFormat="1" applyFont="1" applyFill="1" applyBorder="1" applyAlignment="1" applyProtection="1">
      <alignment horizontal="right" vertical="center"/>
    </xf>
    <xf numFmtId="4" fontId="7" fillId="0" borderId="45" xfId="5" applyNumberFormat="1" applyFont="1" applyFill="1" applyBorder="1" applyAlignment="1" applyProtection="1">
      <alignment horizontal="right" vertical="center"/>
    </xf>
    <xf numFmtId="4" fontId="7" fillId="0" borderId="46" xfId="5" applyNumberFormat="1" applyFont="1" applyFill="1" applyBorder="1" applyAlignment="1" applyProtection="1">
      <alignment horizontal="right" vertical="center"/>
    </xf>
    <xf numFmtId="0" fontId="11" fillId="9" borderId="32" xfId="0" applyNumberFormat="1" applyFont="1" applyFill="1" applyBorder="1" applyAlignment="1" applyProtection="1">
      <alignment horizontal="center" vertical="center"/>
      <protection locked="0"/>
    </xf>
    <xf numFmtId="0" fontId="11" fillId="9" borderId="39" xfId="0" applyNumberFormat="1" applyFont="1" applyFill="1" applyBorder="1" applyAlignment="1" applyProtection="1">
      <alignment horizontal="center" vertical="center"/>
      <protection locked="0"/>
    </xf>
    <xf numFmtId="49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9" xfId="0" applyNumberFormat="1" applyFont="1" applyFill="1" applyBorder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left" vertical="center" wrapText="1"/>
      <protection locked="0"/>
    </xf>
    <xf numFmtId="0" fontId="8" fillId="9" borderId="33" xfId="0" applyFont="1" applyFill="1" applyBorder="1" applyAlignment="1" applyProtection="1">
      <alignment horizontal="left" vertical="center" wrapText="1"/>
      <protection locked="0"/>
    </xf>
    <xf numFmtId="0" fontId="8" fillId="9" borderId="39" xfId="0" applyFont="1" applyFill="1" applyBorder="1" applyAlignment="1" applyProtection="1">
      <alignment horizontal="left" vertical="center" wrapText="1"/>
      <protection locked="0"/>
    </xf>
    <xf numFmtId="0" fontId="33" fillId="9" borderId="32" xfId="0" applyFont="1" applyFill="1" applyBorder="1" applyAlignment="1" applyProtection="1">
      <alignment horizontal="center" vertical="center"/>
      <protection locked="0"/>
    </xf>
    <xf numFmtId="0" fontId="33" fillId="9" borderId="39" xfId="0" applyFont="1" applyFill="1" applyBorder="1" applyAlignment="1" applyProtection="1">
      <alignment horizontal="center" vertical="center"/>
      <protection locked="0"/>
    </xf>
    <xf numFmtId="4" fontId="19" fillId="9" borderId="32" xfId="5" applyNumberFormat="1" applyFont="1" applyFill="1" applyBorder="1" applyAlignment="1" applyProtection="1">
      <alignment horizontal="right" vertical="center"/>
      <protection locked="0"/>
    </xf>
    <xf numFmtId="4" fontId="19" fillId="9" borderId="33" xfId="5" applyNumberFormat="1" applyFont="1" applyFill="1" applyBorder="1" applyAlignment="1" applyProtection="1">
      <alignment horizontal="right" vertical="center"/>
      <protection locked="0"/>
    </xf>
    <xf numFmtId="4" fontId="19" fillId="9" borderId="39" xfId="5" applyNumberFormat="1" applyFont="1" applyFill="1" applyBorder="1" applyAlignment="1" applyProtection="1">
      <alignment horizontal="right" vertical="center"/>
      <protection locked="0"/>
    </xf>
    <xf numFmtId="4" fontId="7" fillId="9" borderId="44" xfId="5" applyNumberFormat="1" applyFont="1" applyFill="1" applyBorder="1" applyAlignment="1" applyProtection="1">
      <alignment horizontal="right" vertical="center"/>
    </xf>
    <xf numFmtId="4" fontId="7" fillId="9" borderId="45" xfId="5" applyNumberFormat="1" applyFont="1" applyFill="1" applyBorder="1" applyAlignment="1" applyProtection="1">
      <alignment horizontal="right" vertical="center"/>
    </xf>
    <xf numFmtId="4" fontId="7" fillId="9" borderId="46" xfId="5" applyNumberFormat="1" applyFont="1" applyFill="1" applyBorder="1" applyAlignment="1" applyProtection="1">
      <alignment horizontal="right" vertical="center"/>
    </xf>
    <xf numFmtId="0" fontId="11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left" vertical="center" wrapText="1"/>
      <protection locked="0"/>
    </xf>
    <xf numFmtId="0" fontId="8" fillId="11" borderId="33" xfId="0" applyFont="1" applyFill="1" applyBorder="1" applyAlignment="1" applyProtection="1">
      <alignment horizontal="left" vertical="center" wrapText="1"/>
      <protection locked="0"/>
    </xf>
    <xf numFmtId="0" fontId="8" fillId="11" borderId="39" xfId="0" applyFont="1" applyFill="1" applyBorder="1" applyAlignment="1" applyProtection="1">
      <alignment horizontal="left" vertical="center" wrapText="1"/>
      <protection locked="0"/>
    </xf>
    <xf numFmtId="4" fontId="19" fillId="0" borderId="32" xfId="5" applyNumberFormat="1" applyFont="1" applyFill="1" applyBorder="1" applyAlignment="1" applyProtection="1">
      <alignment horizontal="right" vertical="center"/>
      <protection locked="0"/>
    </xf>
    <xf numFmtId="4" fontId="19" fillId="0" borderId="33" xfId="5" applyNumberFormat="1" applyFont="1" applyFill="1" applyBorder="1" applyAlignment="1" applyProtection="1">
      <alignment horizontal="right" vertical="center"/>
      <protection locked="0"/>
    </xf>
    <xf numFmtId="4" fontId="11" fillId="9" borderId="42" xfId="5" applyNumberFormat="1" applyFont="1" applyFill="1" applyBorder="1" applyAlignment="1" applyProtection="1">
      <alignment horizontal="right" vertical="center"/>
    </xf>
    <xf numFmtId="4" fontId="11" fillId="9" borderId="23" xfId="5" applyNumberFormat="1" applyFont="1" applyFill="1" applyBorder="1" applyAlignment="1" applyProtection="1">
      <alignment horizontal="right" vertical="center"/>
    </xf>
    <xf numFmtId="4" fontId="11" fillId="9" borderId="79" xfId="5" applyNumberFormat="1" applyFont="1" applyFill="1" applyBorder="1" applyAlignment="1" applyProtection="1">
      <alignment horizontal="right" vertical="center"/>
    </xf>
    <xf numFmtId="0" fontId="7" fillId="11" borderId="32" xfId="0" applyFont="1" applyFill="1" applyBorder="1" applyAlignment="1" applyProtection="1">
      <alignment horizontal="left" vertical="center" wrapText="1"/>
      <protection locked="0"/>
    </xf>
    <xf numFmtId="4" fontId="19" fillId="0" borderId="32" xfId="5" applyNumberFormat="1" applyFont="1" applyFill="1" applyBorder="1" applyAlignment="1" applyProtection="1">
      <alignment horizontal="right" vertical="center" wrapText="1"/>
      <protection locked="0"/>
    </xf>
    <xf numFmtId="49" fontId="7" fillId="9" borderId="32" xfId="0" applyNumberFormat="1" applyFont="1" applyFill="1" applyBorder="1" applyAlignment="1" applyProtection="1">
      <alignment horizontal="center" vertical="center"/>
      <protection locked="0"/>
    </xf>
    <xf numFmtId="4" fontId="19" fillId="0" borderId="39" xfId="5" applyNumberFormat="1" applyFont="1" applyFill="1" applyBorder="1" applyAlignment="1" applyProtection="1">
      <alignment horizontal="right" vertical="center"/>
      <protection locked="0"/>
    </xf>
    <xf numFmtId="0" fontId="1" fillId="11" borderId="32" xfId="0" applyFont="1" applyFill="1" applyBorder="1" applyAlignment="1" applyProtection="1">
      <alignment horizontal="center" vertical="center"/>
      <protection locked="0"/>
    </xf>
    <xf numFmtId="0" fontId="1" fillId="11" borderId="39" xfId="0" applyFont="1" applyFill="1" applyBorder="1" applyAlignment="1" applyProtection="1">
      <alignment horizontal="center" vertical="center"/>
      <protection locked="0"/>
    </xf>
    <xf numFmtId="0" fontId="11" fillId="11" borderId="32" xfId="0" applyFont="1" applyFill="1" applyBorder="1" applyAlignment="1" applyProtection="1">
      <alignment horizontal="left" vertical="center"/>
      <protection locked="0"/>
    </xf>
    <xf numFmtId="0" fontId="11" fillId="11" borderId="33" xfId="0" applyFont="1" applyFill="1" applyBorder="1" applyAlignment="1" applyProtection="1">
      <alignment horizontal="left" vertical="center"/>
      <protection locked="0"/>
    </xf>
    <xf numFmtId="0" fontId="11" fillId="11" borderId="39" xfId="0" applyFont="1" applyFill="1" applyBorder="1" applyAlignment="1" applyProtection="1">
      <alignment horizontal="left" vertical="center"/>
      <protection locked="0"/>
    </xf>
    <xf numFmtId="0" fontId="11" fillId="11" borderId="32" xfId="0" applyFont="1" applyFill="1" applyBorder="1" applyAlignment="1" applyProtection="1">
      <alignment horizontal="right" vertical="center"/>
      <protection locked="0"/>
    </xf>
    <xf numFmtId="0" fontId="11" fillId="11" borderId="33" xfId="0" applyFont="1" applyFill="1" applyBorder="1" applyAlignment="1" applyProtection="1">
      <alignment horizontal="right" vertical="center"/>
      <protection locked="0"/>
    </xf>
    <xf numFmtId="0" fontId="11" fillId="11" borderId="39" xfId="0" applyFont="1" applyFill="1" applyBorder="1" applyAlignment="1" applyProtection="1">
      <alignment horizontal="right" vertical="center"/>
      <protection locked="0"/>
    </xf>
    <xf numFmtId="165" fontId="19" fillId="0" borderId="32" xfId="5" applyFont="1" applyFill="1" applyBorder="1" applyAlignment="1" applyProtection="1">
      <alignment horizontal="right" vertical="center"/>
      <protection locked="0"/>
    </xf>
    <xf numFmtId="165" fontId="19" fillId="0" borderId="33" xfId="5" applyFont="1" applyFill="1" applyBorder="1" applyAlignment="1" applyProtection="1">
      <alignment horizontal="right" vertical="center"/>
      <protection locked="0"/>
    </xf>
    <xf numFmtId="165" fontId="19" fillId="0" borderId="39" xfId="5" applyFont="1" applyFill="1" applyBorder="1" applyAlignment="1" applyProtection="1">
      <alignment horizontal="right" vertical="center"/>
      <protection locked="0"/>
    </xf>
    <xf numFmtId="165" fontId="7" fillId="0" borderId="23" xfId="5" applyFont="1" applyFill="1" applyBorder="1" applyAlignment="1" applyProtection="1">
      <alignment horizontal="right" vertical="center"/>
    </xf>
    <xf numFmtId="165" fontId="7" fillId="0" borderId="32" xfId="5" applyFont="1" applyFill="1" applyBorder="1" applyAlignment="1" applyProtection="1">
      <alignment horizontal="right" vertical="center"/>
    </xf>
    <xf numFmtId="165" fontId="11" fillId="5" borderId="23" xfId="5" applyFont="1" applyFill="1" applyBorder="1" applyAlignment="1" applyProtection="1">
      <alignment horizontal="right" vertical="center"/>
    </xf>
    <xf numFmtId="165" fontId="11" fillId="5" borderId="79" xfId="5" applyFont="1" applyFill="1" applyBorder="1" applyAlignment="1" applyProtection="1">
      <alignment horizontal="right" vertical="center"/>
    </xf>
    <xf numFmtId="0" fontId="7" fillId="6" borderId="32" xfId="0" applyNumberFormat="1" applyFont="1" applyFill="1" applyBorder="1" applyAlignment="1" applyProtection="1">
      <alignment horizontal="center" vertical="center"/>
      <protection locked="0"/>
    </xf>
    <xf numFmtId="0" fontId="11" fillId="6" borderId="39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left" wrapText="1"/>
    </xf>
    <xf numFmtId="165" fontId="22" fillId="3" borderId="20" xfId="5" applyFont="1" applyFill="1" applyBorder="1" applyAlignment="1" applyProtection="1">
      <alignment horizontal="right" vertical="center"/>
    </xf>
    <xf numFmtId="165" fontId="22" fillId="3" borderId="26" xfId="5" applyFont="1" applyFill="1" applyBorder="1" applyAlignment="1" applyProtection="1">
      <alignment horizontal="right" vertical="center"/>
    </xf>
    <xf numFmtId="165" fontId="22" fillId="3" borderId="70" xfId="5" applyFont="1" applyFill="1" applyBorder="1" applyAlignment="1" applyProtection="1">
      <alignment horizontal="right" vertical="center"/>
    </xf>
    <xf numFmtId="165" fontId="22" fillId="3" borderId="81" xfId="5" applyFont="1" applyFill="1" applyBorder="1" applyAlignment="1" applyProtection="1">
      <alignment horizontal="right" vertical="center"/>
    </xf>
    <xf numFmtId="165" fontId="22" fillId="3" borderId="36" xfId="5" applyFont="1" applyFill="1" applyBorder="1" applyAlignment="1" applyProtection="1">
      <alignment horizontal="right" vertical="center"/>
    </xf>
    <xf numFmtId="0" fontId="7" fillId="0" borderId="40" xfId="12" applyNumberFormat="1" applyFont="1" applyFill="1" applyBorder="1" applyAlignment="1" applyProtection="1">
      <alignment horizontal="left" wrapText="1"/>
    </xf>
    <xf numFmtId="0" fontId="2" fillId="0" borderId="13" xfId="11" applyFont="1" applyBorder="1" applyAlignment="1" applyProtection="1">
      <alignment horizontal="left" vertical="top"/>
    </xf>
    <xf numFmtId="0" fontId="2" fillId="0" borderId="25" xfId="11" applyFont="1" applyBorder="1" applyAlignment="1" applyProtection="1">
      <alignment horizontal="left" vertical="top"/>
    </xf>
    <xf numFmtId="0" fontId="2" fillId="0" borderId="0" xfId="11" applyFont="1" applyBorder="1" applyAlignment="1" applyProtection="1">
      <alignment horizontal="left" vertical="top"/>
    </xf>
    <xf numFmtId="0" fontId="1" fillId="0" borderId="28" xfId="8" applyFont="1" applyFill="1" applyBorder="1" applyAlignment="1" applyProtection="1">
      <alignment horizontal="left" vertical="top" wrapText="1"/>
    </xf>
    <xf numFmtId="0" fontId="1" fillId="0" borderId="37" xfId="8" applyFont="1" applyFill="1" applyBorder="1" applyAlignment="1" applyProtection="1">
      <alignment horizontal="left" vertical="top" wrapText="1"/>
    </xf>
    <xf numFmtId="49" fontId="1" fillId="0" borderId="28" xfId="8" applyNumberFormat="1" applyFont="1" applyFill="1" applyBorder="1" applyAlignment="1" applyProtection="1">
      <alignment horizontal="left" vertical="top" wrapText="1"/>
    </xf>
    <xf numFmtId="0" fontId="1" fillId="0" borderId="29" xfId="8" applyNumberFormat="1" applyFont="1" applyFill="1" applyBorder="1" applyAlignment="1" applyProtection="1">
      <alignment horizontal="left" vertical="top" wrapText="1"/>
    </xf>
    <xf numFmtId="0" fontId="1" fillId="0" borderId="37" xfId="8" applyNumberFormat="1" applyFont="1" applyFill="1" applyBorder="1" applyAlignment="1" applyProtection="1">
      <alignment horizontal="left" vertical="top" wrapText="1"/>
    </xf>
    <xf numFmtId="164" fontId="7" fillId="12" borderId="28" xfId="12" applyFont="1" applyFill="1" applyBorder="1" applyAlignment="1" applyProtection="1">
      <alignment horizontal="left"/>
      <protection locked="0"/>
    </xf>
    <xf numFmtId="164" fontId="7" fillId="12" borderId="29" xfId="12" applyFont="1" applyFill="1" applyBorder="1" applyAlignment="1" applyProtection="1">
      <alignment horizontal="left"/>
      <protection locked="0"/>
    </xf>
    <xf numFmtId="164" fontId="7" fillId="12" borderId="37" xfId="12" applyFont="1" applyFill="1" applyBorder="1" applyAlignment="1" applyProtection="1">
      <alignment horizontal="left"/>
      <protection locked="0"/>
    </xf>
    <xf numFmtId="0" fontId="1" fillId="0" borderId="28" xfId="8" applyFont="1" applyFill="1" applyBorder="1" applyAlignment="1" applyProtection="1">
      <alignment horizontal="center" vertical="top" wrapText="1"/>
    </xf>
    <xf numFmtId="0" fontId="1" fillId="0" borderId="37" xfId="8" applyFont="1" applyFill="1" applyBorder="1" applyAlignment="1" applyProtection="1">
      <alignment horizontal="center" vertical="top" wrapText="1"/>
    </xf>
    <xf numFmtId="0" fontId="7" fillId="0" borderId="10" xfId="8" applyFont="1" applyFill="1" applyBorder="1" applyAlignment="1" applyProtection="1">
      <alignment horizontal="left" wrapText="1"/>
    </xf>
    <xf numFmtId="10" fontId="7" fillId="12" borderId="10" xfId="8" applyNumberFormat="1" applyFont="1" applyFill="1" applyBorder="1" applyAlignment="1" applyProtection="1">
      <alignment horizontal="center"/>
      <protection locked="0"/>
    </xf>
    <xf numFmtId="0" fontId="7" fillId="0" borderId="10" xfId="8" applyFont="1" applyFill="1" applyBorder="1" applyAlignment="1" applyProtection="1">
      <alignment horizontal="left"/>
    </xf>
    <xf numFmtId="0" fontId="6" fillId="0" borderId="10" xfId="8" applyFont="1" applyBorder="1" applyAlignment="1" applyProtection="1">
      <alignment horizontal="center" vertical="center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/>
    </xf>
    <xf numFmtId="0" fontId="2" fillId="0" borderId="10" xfId="8" applyFont="1" applyFill="1" applyBorder="1" applyAlignment="1" applyProtection="1">
      <alignment horizontal="center" vertical="center"/>
    </xf>
    <xf numFmtId="0" fontId="29" fillId="0" borderId="0" xfId="8" applyFont="1" applyAlignment="1" applyProtection="1">
      <alignment horizontal="left" vertical="center" indent="1"/>
    </xf>
    <xf numFmtId="0" fontId="1" fillId="0" borderId="10" xfId="8" applyFont="1" applyBorder="1" applyAlignment="1" applyProtection="1">
      <alignment horizontal="left" vertical="center" wrapText="1"/>
    </xf>
    <xf numFmtId="0" fontId="1" fillId="0" borderId="10" xfId="8" applyFont="1" applyBorder="1" applyAlignment="1" applyProtection="1">
      <alignment horizontal="left" vertical="center"/>
    </xf>
    <xf numFmtId="0" fontId="26" fillId="0" borderId="0" xfId="8" applyFont="1" applyBorder="1" applyAlignment="1" applyProtection="1">
      <alignment horizontal="left" vertical="center" wrapText="1"/>
    </xf>
    <xf numFmtId="2" fontId="27" fillId="0" borderId="27" xfId="8" applyNumberFormat="1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/>
    </xf>
    <xf numFmtId="0" fontId="1" fillId="0" borderId="0" xfId="8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center"/>
    </xf>
    <xf numFmtId="0" fontId="30" fillId="0" borderId="0" xfId="0" quotePrefix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top"/>
    </xf>
    <xf numFmtId="0" fontId="33" fillId="0" borderId="10" xfId="8" applyFont="1" applyBorder="1" applyAlignment="1" applyProtection="1">
      <alignment horizontal="center" vertical="center" wrapText="1"/>
    </xf>
    <xf numFmtId="49" fontId="1" fillId="12" borderId="11" xfId="8" applyNumberFormat="1" applyFont="1" applyFill="1" applyBorder="1" applyAlignment="1" applyProtection="1">
      <alignment horizontal="left" vertical="top" wrapText="1"/>
      <protection locked="0"/>
    </xf>
    <xf numFmtId="49" fontId="1" fillId="12" borderId="2" xfId="8" applyNumberFormat="1" applyFont="1" applyFill="1" applyBorder="1" applyAlignment="1" applyProtection="1">
      <alignment horizontal="left" vertical="top" wrapText="1"/>
      <protection locked="0"/>
    </xf>
    <xf numFmtId="49" fontId="1" fillId="12" borderId="14" xfId="8" applyNumberFormat="1" applyFont="1" applyFill="1" applyBorder="1" applyAlignment="1" applyProtection="1">
      <alignment horizontal="left" vertical="top" wrapText="1"/>
      <protection locked="0"/>
    </xf>
    <xf numFmtId="170" fontId="1" fillId="0" borderId="29" xfId="8" applyNumberFormat="1" applyFont="1" applyFill="1" applyBorder="1" applyAlignment="1" applyProtection="1">
      <alignment horizontal="left"/>
    </xf>
    <xf numFmtId="171" fontId="1" fillId="0" borderId="29" xfId="8" applyNumberFormat="1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170" fontId="1" fillId="0" borderId="0" xfId="8" applyNumberFormat="1" applyFont="1" applyFill="1" applyBorder="1" applyAlignment="1" applyProtection="1">
      <alignment horizontal="left"/>
    </xf>
    <xf numFmtId="0" fontId="1" fillId="0" borderId="27" xfId="8" applyFont="1" applyBorder="1" applyAlignment="1" applyProtection="1">
      <alignment horizontal="center" vertical="center"/>
    </xf>
    <xf numFmtId="49" fontId="1" fillId="0" borderId="0" xfId="8" applyNumberFormat="1" applyFont="1" applyFill="1" applyBorder="1" applyAlignment="1" applyProtection="1">
      <alignment horizontal="left"/>
      <protection locked="0"/>
    </xf>
    <xf numFmtId="165" fontId="2" fillId="8" borderId="65" xfId="0" applyNumberFormat="1" applyFont="1" applyFill="1" applyBorder="1" applyAlignment="1">
      <alignment horizontal="center"/>
    </xf>
    <xf numFmtId="165" fontId="2" fillId="8" borderId="66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8" borderId="60" xfId="0" applyFont="1" applyFill="1" applyBorder="1" applyAlignment="1">
      <alignment horizontal="right"/>
    </xf>
    <xf numFmtId="0" fontId="2" fillId="8" borderId="61" xfId="0" applyFont="1" applyFill="1" applyBorder="1" applyAlignment="1">
      <alignment horizontal="right"/>
    </xf>
    <xf numFmtId="0" fontId="2" fillId="8" borderId="62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0" fontId="6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0" fillId="14" borderId="42" xfId="0" applyFill="1" applyBorder="1" applyAlignment="1">
      <alignment vertical="top" wrapText="1"/>
    </xf>
    <xf numFmtId="0" fontId="0" fillId="14" borderId="91" xfId="0" applyFill="1" applyBorder="1" applyAlignment="1">
      <alignment vertical="top" wrapText="1"/>
    </xf>
    <xf numFmtId="0" fontId="0" fillId="14" borderId="23" xfId="0" applyFill="1" applyBorder="1" applyAlignment="1">
      <alignment vertical="top" wrapText="1"/>
    </xf>
    <xf numFmtId="0" fontId="0" fillId="14" borderId="92" xfId="0" applyFill="1" applyBorder="1" applyAlignment="1">
      <alignment vertical="top" wrapText="1"/>
    </xf>
    <xf numFmtId="0" fontId="2" fillId="14" borderId="62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6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0" fillId="14" borderId="90" xfId="0" applyFill="1" applyBorder="1" applyAlignment="1">
      <alignment vertical="top" wrapText="1"/>
    </xf>
    <xf numFmtId="0" fontId="0" fillId="14" borderId="89" xfId="0" applyFill="1" applyBorder="1" applyAlignment="1">
      <alignment vertical="top" wrapText="1"/>
    </xf>
    <xf numFmtId="49" fontId="35" fillId="14" borderId="42" xfId="0" applyNumberFormat="1" applyFont="1" applyFill="1" applyBorder="1" applyAlignment="1">
      <alignment vertical="top" wrapText="1"/>
    </xf>
    <xf numFmtId="49" fontId="35" fillId="14" borderId="23" xfId="0" applyNumberFormat="1" applyFont="1" applyFill="1" applyBorder="1" applyAlignment="1">
      <alignment vertical="top" wrapText="1"/>
    </xf>
    <xf numFmtId="0" fontId="2" fillId="14" borderId="91" xfId="0" applyFont="1" applyFill="1" applyBorder="1" applyAlignment="1">
      <alignment horizontal="center" vertical="top" wrapText="1"/>
    </xf>
    <xf numFmtId="0" fontId="2" fillId="14" borderId="90" xfId="0" applyFont="1" applyFill="1" applyBorder="1" applyAlignment="1">
      <alignment horizontal="center" vertical="top" wrapText="1"/>
    </xf>
    <xf numFmtId="0" fontId="8" fillId="14" borderId="23" xfId="0" applyFont="1" applyFill="1" applyBorder="1" applyAlignment="1">
      <alignment vertical="top" wrapText="1"/>
    </xf>
    <xf numFmtId="0" fontId="2" fillId="14" borderId="88" xfId="0" applyFont="1" applyFill="1" applyBorder="1" applyAlignment="1">
      <alignment horizontal="left" vertical="center"/>
    </xf>
    <xf numFmtId="0" fontId="2" fillId="14" borderId="6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left" vertical="center"/>
    </xf>
    <xf numFmtId="0" fontId="2" fillId="14" borderId="65" xfId="0" applyFont="1" applyFill="1" applyBorder="1" applyAlignment="1">
      <alignment horizontal="left" vertical="center" wrapText="1"/>
    </xf>
    <xf numFmtId="0" fontId="2" fillId="14" borderId="67" xfId="0" applyFont="1" applyFill="1" applyBorder="1" applyAlignment="1">
      <alignment horizontal="left" vertical="center" wrapText="1"/>
    </xf>
    <xf numFmtId="0" fontId="2" fillId="14" borderId="66" xfId="0" applyFont="1" applyFill="1" applyBorder="1" applyAlignment="1">
      <alignment horizontal="left" vertical="center" wrapText="1"/>
    </xf>
    <xf numFmtId="0" fontId="2" fillId="14" borderId="70" xfId="0" applyFont="1" applyFill="1" applyBorder="1" applyAlignment="1">
      <alignment horizontal="center" vertical="top" wrapText="1"/>
    </xf>
    <xf numFmtId="0" fontId="8" fillId="14" borderId="89" xfId="0" applyFont="1" applyFill="1" applyBorder="1" applyAlignment="1">
      <alignment vertical="top" wrapText="1"/>
    </xf>
    <xf numFmtId="0" fontId="2" fillId="14" borderId="84" xfId="0" applyFont="1" applyFill="1" applyBorder="1" applyAlignment="1">
      <alignment horizontal="center" vertical="center"/>
    </xf>
    <xf numFmtId="0" fontId="2" fillId="14" borderId="85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/>
    </xf>
    <xf numFmtId="0" fontId="2" fillId="14" borderId="86" xfId="0" applyFont="1" applyFill="1" applyBorder="1" applyAlignment="1">
      <alignment horizontal="left" vertical="center"/>
    </xf>
    <xf numFmtId="0" fontId="2" fillId="14" borderId="69" xfId="0" applyFont="1" applyFill="1" applyBorder="1" applyAlignment="1">
      <alignment horizontal="left" vertical="center"/>
    </xf>
    <xf numFmtId="0" fontId="2" fillId="14" borderId="87" xfId="0" applyFont="1" applyFill="1" applyBorder="1" applyAlignment="1">
      <alignment horizontal="left" vertical="center"/>
    </xf>
  </cellXfs>
  <cellStyles count="13">
    <cellStyle name="Moeda 2" xfId="1"/>
    <cellStyle name="Moeda 2 2" xfId="7"/>
    <cellStyle name="Moeda_Composicao BDI v2.1" xfId="12"/>
    <cellStyle name="Normal" xfId="0" builtinId="0"/>
    <cellStyle name="Normal 2" xfId="2"/>
    <cellStyle name="Normal 2 2" xfId="8"/>
    <cellStyle name="Normal_FICHA DE VERIFICAÇÃO PRELIMINAR - Plano R" xfId="11"/>
    <cellStyle name="Porcentagem" xfId="3" builtinId="5"/>
    <cellStyle name="Porcentagem 2" xfId="4"/>
    <cellStyle name="Porcentagem 2 2" xfId="9"/>
    <cellStyle name="Vírgula" xfId="5" builtinId="3"/>
    <cellStyle name="Vírgula 2" xfId="6"/>
    <cellStyle name="Vírgula 2 2" xfId="10"/>
  </cellStyles>
  <dxfs count="9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0659" name="Oval 1"/>
        <xdr:cNvSpPr>
          <a:spLocks noChangeArrowheads="1"/>
        </xdr:cNvSpPr>
      </xdr:nvSpPr>
      <xdr:spPr bwMode="auto">
        <a:xfrm>
          <a:off x="8086725" y="2076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0" name="Desenhando 59"/>
        <xdr:cNvSpPr>
          <a:spLocks/>
        </xdr:cNvSpPr>
      </xdr:nvSpPr>
      <xdr:spPr bwMode="auto">
        <a:xfrm>
          <a:off x="9620250" y="2076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1" name="Rectangle 3"/>
        <xdr:cNvSpPr>
          <a:spLocks noChangeArrowheads="1"/>
        </xdr:cNvSpPr>
      </xdr:nvSpPr>
      <xdr:spPr bwMode="auto">
        <a:xfrm>
          <a:off x="9620250" y="2076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35719</xdr:colOff>
      <xdr:row>0</xdr:row>
      <xdr:rowOff>35719</xdr:rowOff>
    </xdr:from>
    <xdr:to>
      <xdr:col>4</xdr:col>
      <xdr:colOff>516732</xdr:colOff>
      <xdr:row>3</xdr:row>
      <xdr:rowOff>50006</xdr:rowOff>
    </xdr:to>
    <xdr:pic>
      <xdr:nvPicPr>
        <xdr:cNvPr id="6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35719"/>
          <a:ext cx="1790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sp macro="" textlink="">
      <xdr:nvSpPr>
        <xdr:cNvPr id="2" name="Object 476" hidden="1">
          <a:extLst>
            <a:ext uri="{63B3BB69-23CF-44E3-9099-C40C66FF867C}">
              <a14:compatExt xmlns:a14="http://schemas.microsoft.com/office/drawing/2010/main" spid="_x0000_s156124"/>
            </a:ext>
          </a:extLst>
        </xdr:cNvPr>
        <xdr:cNvSpPr/>
      </xdr:nvSpPr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209550</xdr:colOff>
          <xdr:row>0</xdr:row>
          <xdr:rowOff>0</xdr:rowOff>
        </xdr:from>
        <xdr:to>
          <xdr:col>18</xdr:col>
          <xdr:colOff>38100</xdr:colOff>
          <xdr:row>1</xdr:row>
          <xdr:rowOff>133350</xdr:rowOff>
        </xdr:to>
        <xdr:pic>
          <xdr:nvPicPr>
            <xdr:cNvPr id="3" name="SigiloPic"/>
            <xdr:cNvPicPr>
              <a:picLocks noChangeArrowheads="1"/>
              <a:extLst>
                <a:ext uri="{84589F7E-364E-4C9E-8A38-B11213B215E9}">
                  <a14:cameraTool cellRange="[1]PO!$T$1:$T$2" spid="_x0000_s4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10225" y="0"/>
              <a:ext cx="1047750" cy="333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8</xdr:col>
      <xdr:colOff>0</xdr:colOff>
      <xdr:row>0</xdr:row>
      <xdr:rowOff>638175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171575" y="0"/>
          <a:ext cx="10772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/>
          <a:r>
            <a:rPr lang="pt-BR" sz="1100">
              <a:effectLst/>
              <a:latin typeface="+mn-lt"/>
              <a:ea typeface="+mn-ea"/>
              <a:cs typeface="+mn-cs"/>
            </a:rPr>
            <a:t> </a:t>
          </a:r>
          <a:endParaRPr lang="pt-B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ENHARIA/Desktop/ASFALTAMENTOS%20E%20OBRAS%20DE%20CONVENIOS%20-%202017/ASFALTO%20SECIR%20-%20BELA%20VISTA%20-260%20MIL/Modelo%20Planilha%20CAIXA%20-%20MO27476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29">
          <cell r="A29">
            <v>0</v>
          </cell>
          <cell r="P29" t="str">
            <v xml:space="preserve">PAVIMENTAÇÃO </v>
          </cell>
        </row>
        <row r="32">
          <cell r="A32" t="str">
            <v>PREFEITURA MUNICPAL DE PAPAGAIOS</v>
          </cell>
        </row>
        <row r="38">
          <cell r="C38" t="str">
            <v>Sim</v>
          </cell>
        </row>
        <row r="56">
          <cell r="A56" t="str">
            <v>CREA/CAU:</v>
          </cell>
        </row>
      </sheetData>
      <sheetData sheetId="1"/>
      <sheetData sheetId="2">
        <row r="45">
          <cell r="K45" t="str">
            <v>PAPAGAIOS / MG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5"/>
  <sheetViews>
    <sheetView topLeftCell="A26" zoomScale="77" zoomScaleNormal="77" workbookViewId="0">
      <selection activeCell="U46" sqref="U46:W46"/>
    </sheetView>
  </sheetViews>
  <sheetFormatPr defaultRowHeight="12" x14ac:dyDescent="0.2"/>
  <cols>
    <col min="1" max="1" width="5.42578125" style="93" customWidth="1"/>
    <col min="2" max="2" width="7.28515625" style="93" customWidth="1"/>
    <col min="3" max="3" width="5.85546875" style="93" customWidth="1"/>
    <col min="4" max="4" width="6.42578125" style="93" customWidth="1"/>
    <col min="5" max="5" width="11.7109375" style="94" customWidth="1"/>
    <col min="6" max="6" width="4.42578125" style="94" customWidth="1"/>
    <col min="7" max="10" width="3.28515625" style="94" customWidth="1"/>
    <col min="11" max="14" width="3.28515625" style="50" customWidth="1"/>
    <col min="15" max="15" width="3.140625" style="50" customWidth="1"/>
    <col min="16" max="16" width="3.28515625" style="50" customWidth="1"/>
    <col min="17" max="17" width="2.7109375" style="50" customWidth="1"/>
    <col min="18" max="18" width="2.42578125" style="50" hidden="1" customWidth="1"/>
    <col min="19" max="19" width="3.28515625" style="50" customWidth="1"/>
    <col min="20" max="20" width="3.7109375" style="50" customWidth="1"/>
    <col min="21" max="21" width="3.28515625" style="50" customWidth="1"/>
    <col min="22" max="22" width="3.85546875" style="50" customWidth="1"/>
    <col min="23" max="23" width="5.5703125" style="50" customWidth="1"/>
    <col min="24" max="25" width="3.28515625" style="50" customWidth="1"/>
    <col min="26" max="26" width="7.85546875" style="50" customWidth="1"/>
    <col min="27" max="28" width="3.28515625" style="50" customWidth="1"/>
    <col min="29" max="29" width="2.140625" style="50" customWidth="1"/>
    <col min="30" max="30" width="9.42578125" style="50" customWidth="1"/>
    <col min="31" max="39" width="3.28515625" style="50" customWidth="1"/>
    <col min="40" max="40" width="3.28515625" style="50" hidden="1" customWidth="1"/>
    <col min="41" max="41" width="3.28515625" style="50" customWidth="1"/>
    <col min="42" max="42" width="11.28515625" style="50" customWidth="1"/>
    <col min="43" max="43" width="3.28515625" style="50" customWidth="1"/>
    <col min="44" max="44" width="11" style="50" bestFit="1" customWidth="1"/>
    <col min="45" max="45" width="6.85546875" style="50" customWidth="1"/>
    <col min="46" max="46" width="4.42578125" style="51" customWidth="1"/>
    <col min="47" max="47" width="7.140625" style="50" customWidth="1"/>
    <col min="48" max="48" width="3.28515625" style="50" customWidth="1"/>
    <col min="49" max="49" width="11.5703125" style="50" customWidth="1"/>
    <col min="50" max="55" width="3.28515625" style="50" customWidth="1"/>
    <col min="56" max="16384" width="9.140625" style="50"/>
  </cols>
  <sheetData>
    <row r="1" spans="1:46" ht="6.75" customHeight="1" x14ac:dyDescent="0.2">
      <c r="A1" s="230"/>
      <c r="B1" s="231"/>
      <c r="C1" s="231"/>
      <c r="D1" s="231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3"/>
    </row>
    <row r="2" spans="1:46" ht="12.75" customHeight="1" x14ac:dyDescent="0.2">
      <c r="A2" s="461" t="s">
        <v>34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3"/>
    </row>
    <row r="3" spans="1:46" ht="12" customHeight="1" x14ac:dyDescent="0.2">
      <c r="A3" s="461"/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3"/>
    </row>
    <row r="4" spans="1:46" ht="4.5" customHeight="1" x14ac:dyDescent="0.2">
      <c r="A4" s="234"/>
      <c r="B4" s="49"/>
      <c r="C4" s="49"/>
      <c r="D4" s="49"/>
      <c r="E4" s="49"/>
      <c r="F4" s="49"/>
      <c r="G4" s="49"/>
      <c r="H4" s="23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236"/>
    </row>
    <row r="5" spans="1:46" s="52" customFormat="1" ht="13.5" customHeight="1" x14ac:dyDescent="0.2">
      <c r="A5" s="464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183"/>
      <c r="Z5" s="183"/>
      <c r="AA5" s="183"/>
      <c r="AB5" s="183"/>
      <c r="AC5" s="183"/>
      <c r="AD5" s="466"/>
      <c r="AE5" s="466"/>
      <c r="AF5" s="466"/>
      <c r="AG5" s="466"/>
      <c r="AH5" s="466"/>
      <c r="AI5" s="466"/>
      <c r="AJ5" s="466"/>
      <c r="AK5" s="466"/>
      <c r="AL5" s="466"/>
      <c r="AM5" s="467"/>
      <c r="AT5" s="53"/>
    </row>
    <row r="6" spans="1:46" ht="5.25" customHeight="1" x14ac:dyDescent="0.2">
      <c r="A6" s="237"/>
      <c r="B6" s="54"/>
      <c r="C6" s="54"/>
      <c r="D6" s="54"/>
      <c r="E6" s="54"/>
      <c r="F6" s="54"/>
      <c r="G6" s="54"/>
      <c r="H6" s="54"/>
      <c r="I6" s="54"/>
      <c r="J6" s="54"/>
      <c r="K6" s="61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236"/>
    </row>
    <row r="7" spans="1:46" s="56" customFormat="1" ht="12" customHeight="1" x14ac:dyDescent="0.2">
      <c r="A7" s="238" t="s">
        <v>35</v>
      </c>
      <c r="B7" s="48"/>
      <c r="C7" s="48"/>
      <c r="D7" s="48"/>
      <c r="E7" s="48"/>
      <c r="F7" s="48"/>
      <c r="G7" s="48"/>
      <c r="H7" s="4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8"/>
      <c r="X7" s="48"/>
      <c r="Y7" s="48"/>
      <c r="Z7" s="48"/>
      <c r="AA7" s="48"/>
      <c r="AB7" s="49"/>
      <c r="AC7" s="49"/>
      <c r="AD7" s="55" t="s">
        <v>36</v>
      </c>
      <c r="AE7" s="49"/>
      <c r="AF7" s="49"/>
      <c r="AG7" s="49"/>
      <c r="AH7" s="49"/>
      <c r="AI7" s="49"/>
      <c r="AJ7" s="49"/>
      <c r="AK7" s="49"/>
      <c r="AL7" s="49"/>
      <c r="AM7" s="236"/>
      <c r="AT7" s="57"/>
    </row>
    <row r="8" spans="1:46" s="56" customFormat="1" ht="14.1" customHeight="1" x14ac:dyDescent="0.2">
      <c r="A8" s="468" t="s">
        <v>127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70"/>
      <c r="AD8" s="471" t="s">
        <v>130</v>
      </c>
      <c r="AE8" s="472"/>
      <c r="AF8" s="472"/>
      <c r="AG8" s="472"/>
      <c r="AH8" s="472"/>
      <c r="AI8" s="472"/>
      <c r="AJ8" s="472"/>
      <c r="AK8" s="472"/>
      <c r="AL8" s="472"/>
      <c r="AM8" s="473"/>
      <c r="AT8" s="57"/>
    </row>
    <row r="9" spans="1:46" s="59" customFormat="1" ht="5.25" customHeight="1" x14ac:dyDescent="0.2">
      <c r="A9" s="239"/>
      <c r="B9" s="58"/>
      <c r="C9" s="58"/>
      <c r="D9" s="58"/>
      <c r="E9" s="58"/>
      <c r="F9" s="58"/>
      <c r="G9" s="58"/>
      <c r="H9" s="58"/>
      <c r="I9" s="58"/>
      <c r="J9" s="58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240"/>
      <c r="AT9" s="60"/>
    </row>
    <row r="10" spans="1:46" s="56" customFormat="1" ht="12" customHeight="1" x14ac:dyDescent="0.2">
      <c r="A10" s="238" t="s">
        <v>37</v>
      </c>
      <c r="B10" s="48"/>
      <c r="C10" s="4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5" t="s">
        <v>38</v>
      </c>
      <c r="X10" s="49"/>
      <c r="Y10" s="48"/>
      <c r="Z10" s="48"/>
      <c r="AA10" s="48"/>
      <c r="AB10" s="48"/>
      <c r="AC10" s="48"/>
      <c r="AD10" s="49"/>
      <c r="AE10" s="48"/>
      <c r="AF10" s="61"/>
      <c r="AG10" s="49"/>
      <c r="AH10" s="49"/>
      <c r="AI10" s="49"/>
      <c r="AJ10" s="49"/>
      <c r="AK10" s="226"/>
      <c r="AL10" s="62" t="s">
        <v>39</v>
      </c>
      <c r="AM10" s="241"/>
      <c r="AT10" s="57"/>
    </row>
    <row r="11" spans="1:46" ht="34.5" customHeight="1" x14ac:dyDescent="0.2">
      <c r="A11" s="474" t="s">
        <v>95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6"/>
      <c r="W11" s="477" t="s">
        <v>107</v>
      </c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70"/>
      <c r="AL11" s="478" t="s">
        <v>40</v>
      </c>
      <c r="AM11" s="479"/>
    </row>
    <row r="12" spans="1:46" s="59" customFormat="1" ht="6.75" customHeight="1" x14ac:dyDescent="0.2">
      <c r="A12" s="239"/>
      <c r="B12" s="58"/>
      <c r="C12" s="58"/>
      <c r="D12" s="58"/>
      <c r="E12" s="58"/>
      <c r="F12" s="58"/>
      <c r="G12" s="58"/>
      <c r="H12" s="58"/>
      <c r="I12" s="58"/>
      <c r="J12" s="58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49"/>
      <c r="AL12" s="49"/>
      <c r="AM12" s="236"/>
      <c r="AT12" s="60"/>
    </row>
    <row r="13" spans="1:46" s="56" customFormat="1" ht="12" customHeight="1" x14ac:dyDescent="0.2">
      <c r="A13" s="234" t="s">
        <v>41</v>
      </c>
      <c r="B13" s="49"/>
      <c r="C13" s="49"/>
      <c r="D13" s="49"/>
      <c r="E13" s="48"/>
      <c r="F13" s="48"/>
      <c r="G13" s="48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5" t="s">
        <v>42</v>
      </c>
      <c r="X13" s="49"/>
      <c r="Y13" s="49"/>
      <c r="Z13" s="48"/>
      <c r="AA13" s="49"/>
      <c r="AB13" s="49"/>
      <c r="AC13" s="49"/>
      <c r="AD13" s="49"/>
      <c r="AE13" s="49"/>
      <c r="AF13" s="55" t="s">
        <v>43</v>
      </c>
      <c r="AG13" s="49"/>
      <c r="AH13" s="49"/>
      <c r="AI13" s="48"/>
      <c r="AJ13" s="49"/>
      <c r="AK13" s="49"/>
      <c r="AL13" s="49"/>
      <c r="AM13" s="236"/>
      <c r="AT13" s="57"/>
    </row>
    <row r="14" spans="1:46" s="56" customFormat="1" ht="21" customHeight="1" x14ac:dyDescent="0.2">
      <c r="A14" s="399" t="s">
        <v>106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1"/>
      <c r="W14" s="402"/>
      <c r="X14" s="403"/>
      <c r="Y14" s="403"/>
      <c r="Z14" s="403"/>
      <c r="AA14" s="403"/>
      <c r="AB14" s="403"/>
      <c r="AC14" s="403"/>
      <c r="AD14" s="403"/>
      <c r="AE14" s="404"/>
      <c r="AF14" s="405">
        <v>43922</v>
      </c>
      <c r="AG14" s="406"/>
      <c r="AH14" s="406"/>
      <c r="AI14" s="406"/>
      <c r="AJ14" s="406"/>
      <c r="AK14" s="406"/>
      <c r="AL14" s="406"/>
      <c r="AM14" s="407"/>
      <c r="AT14" s="57"/>
    </row>
    <row r="15" spans="1:46" ht="6" customHeight="1" x14ac:dyDescent="0.2">
      <c r="A15" s="242"/>
      <c r="B15" s="217"/>
      <c r="C15" s="217"/>
      <c r="D15" s="217"/>
      <c r="E15" s="217"/>
      <c r="F15" s="217"/>
      <c r="G15" s="217"/>
      <c r="H15" s="217"/>
      <c r="I15" s="217"/>
      <c r="J15" s="217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43"/>
    </row>
    <row r="16" spans="1:46" ht="11.25" customHeight="1" x14ac:dyDescent="0.2">
      <c r="A16" s="244" t="s">
        <v>44</v>
      </c>
      <c r="B16" s="219"/>
      <c r="C16" s="219"/>
      <c r="D16" s="219"/>
      <c r="E16" s="219"/>
      <c r="F16" s="221" t="s">
        <v>189</v>
      </c>
      <c r="G16" s="219"/>
      <c r="H16" s="219"/>
      <c r="I16" s="219"/>
      <c r="J16" s="219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45"/>
      <c r="AN16" s="64" t="b">
        <v>0</v>
      </c>
    </row>
    <row r="17" spans="1:51" ht="6.75" customHeight="1" x14ac:dyDescent="0.2">
      <c r="A17" s="238"/>
      <c r="B17" s="48"/>
      <c r="C17" s="48"/>
      <c r="D17" s="48"/>
      <c r="E17" s="48"/>
      <c r="F17" s="48"/>
      <c r="G17" s="48"/>
      <c r="H17" s="48"/>
      <c r="I17" s="48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236"/>
    </row>
    <row r="18" spans="1:51" ht="12.6" customHeight="1" x14ac:dyDescent="0.2">
      <c r="A18" s="455"/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7"/>
      <c r="P18" s="408" t="s">
        <v>45</v>
      </c>
      <c r="Q18" s="409"/>
      <c r="R18" s="409"/>
      <c r="S18" s="409"/>
      <c r="T18" s="409"/>
      <c r="U18" s="409"/>
      <c r="V18" s="409"/>
      <c r="W18" s="409"/>
      <c r="X18" s="412" t="s">
        <v>46</v>
      </c>
      <c r="Y18" s="413"/>
      <c r="Z18" s="413"/>
      <c r="AA18" s="413"/>
      <c r="AB18" s="413"/>
      <c r="AC18" s="413"/>
      <c r="AD18" s="413"/>
      <c r="AE18" s="413"/>
      <c r="AF18" s="413"/>
      <c r="AG18" s="413"/>
      <c r="AH18" s="414"/>
      <c r="AI18" s="418">
        <v>0.26750000000000002</v>
      </c>
      <c r="AJ18" s="419"/>
      <c r="AK18" s="419"/>
      <c r="AL18" s="419"/>
      <c r="AM18" s="420"/>
    </row>
    <row r="19" spans="1:51" ht="12.6" customHeight="1" x14ac:dyDescent="0.2">
      <c r="A19" s="458"/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60"/>
      <c r="P19" s="410"/>
      <c r="Q19" s="411"/>
      <c r="R19" s="411"/>
      <c r="S19" s="411"/>
      <c r="T19" s="411"/>
      <c r="U19" s="411"/>
      <c r="V19" s="411"/>
      <c r="W19" s="411"/>
      <c r="X19" s="415"/>
      <c r="Y19" s="416"/>
      <c r="Z19" s="416"/>
      <c r="AA19" s="416"/>
      <c r="AB19" s="416"/>
      <c r="AC19" s="416"/>
      <c r="AD19" s="416"/>
      <c r="AE19" s="416"/>
      <c r="AF19" s="416"/>
      <c r="AG19" s="416"/>
      <c r="AH19" s="417"/>
      <c r="AI19" s="421"/>
      <c r="AJ19" s="422"/>
      <c r="AK19" s="422"/>
      <c r="AL19" s="422"/>
      <c r="AM19" s="423"/>
    </row>
    <row r="20" spans="1:51" ht="17.25" hidden="1" customHeight="1" x14ac:dyDescent="0.2">
      <c r="A20" s="246" t="s">
        <v>47</v>
      </c>
      <c r="B20" s="65"/>
      <c r="C20" s="65"/>
      <c r="D20" s="65"/>
      <c r="E20" s="65"/>
      <c r="F20" s="65"/>
      <c r="G20" s="65"/>
      <c r="H20" s="65"/>
      <c r="I20" s="65"/>
      <c r="J20" s="66" t="s">
        <v>48</v>
      </c>
      <c r="K20" s="424">
        <v>3.2000000000000002E-3</v>
      </c>
      <c r="L20" s="424"/>
      <c r="M20" s="67" t="s">
        <v>49</v>
      </c>
      <c r="N20" s="424">
        <v>7.4000000000000003E-3</v>
      </c>
      <c r="O20" s="490"/>
      <c r="P20" s="68" t="s">
        <v>50</v>
      </c>
      <c r="Q20" s="69"/>
      <c r="R20" s="69"/>
      <c r="S20" s="69"/>
      <c r="T20" s="69"/>
      <c r="U20" s="69"/>
      <c r="V20" s="491">
        <v>7.1999999999999998E-3</v>
      </c>
      <c r="W20" s="492"/>
      <c r="X20" s="480" t="s">
        <v>125</v>
      </c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1"/>
      <c r="AR20" s="51"/>
      <c r="AT20" s="50"/>
    </row>
    <row r="21" spans="1:51" ht="17.25" hidden="1" customHeight="1" x14ac:dyDescent="0.2">
      <c r="A21" s="247" t="s">
        <v>51</v>
      </c>
      <c r="B21" s="70"/>
      <c r="C21" s="70"/>
      <c r="D21" s="70"/>
      <c r="E21" s="70"/>
      <c r="F21" s="70"/>
      <c r="G21" s="70"/>
      <c r="H21" s="70"/>
      <c r="I21" s="70"/>
      <c r="J21" s="71" t="s">
        <v>48</v>
      </c>
      <c r="K21" s="486">
        <v>5.0000000000000001E-3</v>
      </c>
      <c r="L21" s="486"/>
      <c r="M21" s="72" t="s">
        <v>49</v>
      </c>
      <c r="N21" s="486">
        <v>9.7000000000000003E-3</v>
      </c>
      <c r="O21" s="487"/>
      <c r="P21" s="73" t="s">
        <v>52</v>
      </c>
      <c r="Q21" s="74"/>
      <c r="R21" s="74"/>
      <c r="S21" s="74"/>
      <c r="T21" s="74"/>
      <c r="U21" s="74"/>
      <c r="V21" s="488">
        <v>9.5999999999999992E-3</v>
      </c>
      <c r="W21" s="489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3"/>
      <c r="AR21" s="51"/>
      <c r="AT21" s="50"/>
    </row>
    <row r="22" spans="1:51" ht="17.25" hidden="1" customHeight="1" x14ac:dyDescent="0.2">
      <c r="A22" s="247" t="s">
        <v>53</v>
      </c>
      <c r="B22" s="70"/>
      <c r="C22" s="70"/>
      <c r="D22" s="70"/>
      <c r="E22" s="70"/>
      <c r="F22" s="70"/>
      <c r="G22" s="70"/>
      <c r="H22" s="70"/>
      <c r="I22" s="70"/>
      <c r="J22" s="71" t="s">
        <v>48</v>
      </c>
      <c r="K22" s="486">
        <v>1.0200000000000001E-2</v>
      </c>
      <c r="L22" s="486"/>
      <c r="M22" s="72" t="s">
        <v>49</v>
      </c>
      <c r="N22" s="486">
        <v>1.21E-2</v>
      </c>
      <c r="O22" s="487"/>
      <c r="P22" s="73" t="s">
        <v>54</v>
      </c>
      <c r="Q22" s="74"/>
      <c r="R22" s="74"/>
      <c r="S22" s="74"/>
      <c r="T22" s="74"/>
      <c r="U22" s="74"/>
      <c r="V22" s="488">
        <v>1.21E-2</v>
      </c>
      <c r="W22" s="489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3"/>
      <c r="AR22" s="51"/>
      <c r="AT22" s="50"/>
    </row>
    <row r="23" spans="1:51" ht="17.25" hidden="1" customHeight="1" x14ac:dyDescent="0.2">
      <c r="A23" s="247" t="s">
        <v>55</v>
      </c>
      <c r="B23" s="70"/>
      <c r="C23" s="70"/>
      <c r="D23" s="70"/>
      <c r="E23" s="70"/>
      <c r="F23" s="70"/>
      <c r="G23" s="70"/>
      <c r="H23" s="70"/>
      <c r="I23" s="70"/>
      <c r="J23" s="71" t="s">
        <v>48</v>
      </c>
      <c r="K23" s="486">
        <v>3.7999999999999999E-2</v>
      </c>
      <c r="L23" s="486"/>
      <c r="M23" s="72" t="s">
        <v>49</v>
      </c>
      <c r="N23" s="486">
        <v>4.6699999999999998E-2</v>
      </c>
      <c r="O23" s="487"/>
      <c r="P23" s="73" t="s">
        <v>56</v>
      </c>
      <c r="Q23" s="74"/>
      <c r="R23" s="74"/>
      <c r="S23" s="74"/>
      <c r="T23" s="74"/>
      <c r="U23" s="74"/>
      <c r="V23" s="488">
        <v>4.6699999999999998E-2</v>
      </c>
      <c r="W23" s="489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3"/>
      <c r="AR23" s="51"/>
      <c r="AT23" s="50"/>
    </row>
    <row r="24" spans="1:51" ht="17.25" hidden="1" customHeight="1" x14ac:dyDescent="0.2">
      <c r="A24" s="247" t="s">
        <v>57</v>
      </c>
      <c r="B24" s="70"/>
      <c r="C24" s="70"/>
      <c r="D24" s="70"/>
      <c r="E24" s="70"/>
      <c r="F24" s="70"/>
      <c r="G24" s="70"/>
      <c r="H24" s="70"/>
      <c r="I24" s="70"/>
      <c r="J24" s="71" t="s">
        <v>48</v>
      </c>
      <c r="K24" s="486">
        <v>6.6400000000000001E-2</v>
      </c>
      <c r="L24" s="486"/>
      <c r="M24" s="72" t="s">
        <v>49</v>
      </c>
      <c r="N24" s="486">
        <v>8.6900000000000005E-2</v>
      </c>
      <c r="O24" s="487"/>
      <c r="P24" s="73" t="s">
        <v>58</v>
      </c>
      <c r="Q24" s="74"/>
      <c r="R24" s="74"/>
      <c r="S24" s="74"/>
      <c r="T24" s="74"/>
      <c r="U24" s="74"/>
      <c r="V24" s="488">
        <v>8.6900000000000005E-2</v>
      </c>
      <c r="W24" s="489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2"/>
      <c r="AM24" s="483"/>
      <c r="AT24" s="50"/>
    </row>
    <row r="25" spans="1:51" ht="17.25" hidden="1" customHeight="1" x14ac:dyDescent="0.2">
      <c r="A25" s="248" t="s">
        <v>59</v>
      </c>
      <c r="B25" s="75"/>
      <c r="C25" s="178" t="s">
        <v>69</v>
      </c>
      <c r="D25" s="178" t="s">
        <v>72</v>
      </c>
      <c r="E25" s="76" t="s">
        <v>73</v>
      </c>
      <c r="F25" s="179">
        <v>0.02</v>
      </c>
      <c r="G25" s="75"/>
      <c r="H25" s="75"/>
      <c r="I25" s="75"/>
      <c r="J25" s="452">
        <v>7.6499999999999999E-2</v>
      </c>
      <c r="K25" s="453"/>
      <c r="L25" s="453"/>
      <c r="M25" s="453"/>
      <c r="N25" s="453"/>
      <c r="O25" s="454"/>
      <c r="P25" s="77" t="s">
        <v>60</v>
      </c>
      <c r="Q25" s="78"/>
      <c r="R25" s="78"/>
      <c r="S25" s="78"/>
      <c r="T25" s="78"/>
      <c r="U25" s="78"/>
      <c r="V25" s="493">
        <v>7.6499999999999999E-2</v>
      </c>
      <c r="W25" s="49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5"/>
      <c r="AT25" s="50"/>
    </row>
    <row r="26" spans="1:51" ht="6" customHeight="1" x14ac:dyDescent="0.2">
      <c r="A26" s="238"/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236"/>
    </row>
    <row r="27" spans="1:51" ht="12" customHeight="1" x14ac:dyDescent="0.2">
      <c r="A27" s="425" t="s">
        <v>0</v>
      </c>
      <c r="B27" s="79"/>
      <c r="C27" s="80"/>
      <c r="D27" s="81"/>
      <c r="E27" s="80"/>
      <c r="F27" s="408" t="s">
        <v>61</v>
      </c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28"/>
      <c r="S27" s="408" t="s">
        <v>62</v>
      </c>
      <c r="T27" s="428"/>
      <c r="U27" s="433" t="s">
        <v>63</v>
      </c>
      <c r="V27" s="434"/>
      <c r="W27" s="435"/>
      <c r="X27" s="442" t="s">
        <v>64</v>
      </c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4"/>
      <c r="AR27" s="354" t="s">
        <v>65</v>
      </c>
      <c r="AS27" s="354"/>
    </row>
    <row r="28" spans="1:51" ht="12" customHeight="1" x14ac:dyDescent="0.2">
      <c r="A28" s="426"/>
      <c r="B28" s="83" t="s">
        <v>1</v>
      </c>
      <c r="C28" s="84"/>
      <c r="D28" s="445" t="s">
        <v>66</v>
      </c>
      <c r="E28" s="446"/>
      <c r="F28" s="429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1"/>
      <c r="S28" s="429"/>
      <c r="T28" s="431"/>
      <c r="U28" s="436"/>
      <c r="V28" s="437"/>
      <c r="W28" s="438"/>
      <c r="X28" s="442" t="s">
        <v>67</v>
      </c>
      <c r="Y28" s="443"/>
      <c r="Z28" s="443"/>
      <c r="AA28" s="443"/>
      <c r="AB28" s="443"/>
      <c r="AC28" s="443"/>
      <c r="AD28" s="443"/>
      <c r="AE28" s="447" t="s">
        <v>68</v>
      </c>
      <c r="AF28" s="443"/>
      <c r="AG28" s="443"/>
      <c r="AH28" s="443"/>
      <c r="AI28" s="443"/>
      <c r="AJ28" s="443"/>
      <c r="AK28" s="443"/>
      <c r="AL28" s="443"/>
      <c r="AM28" s="444"/>
      <c r="AR28" s="82" t="s">
        <v>69</v>
      </c>
      <c r="AS28" s="85">
        <v>0.02</v>
      </c>
    </row>
    <row r="29" spans="1:51" ht="12" customHeight="1" x14ac:dyDescent="0.2">
      <c r="A29" s="427"/>
      <c r="B29" s="86"/>
      <c r="C29" s="87"/>
      <c r="D29" s="88"/>
      <c r="E29" s="87"/>
      <c r="F29" s="410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32"/>
      <c r="S29" s="410"/>
      <c r="T29" s="432"/>
      <c r="U29" s="439"/>
      <c r="V29" s="440"/>
      <c r="W29" s="441"/>
      <c r="X29" s="410" t="s">
        <v>70</v>
      </c>
      <c r="Y29" s="411"/>
      <c r="Z29" s="432"/>
      <c r="AA29" s="410" t="s">
        <v>71</v>
      </c>
      <c r="AB29" s="411"/>
      <c r="AC29" s="411"/>
      <c r="AD29" s="411"/>
      <c r="AE29" s="448" t="s">
        <v>70</v>
      </c>
      <c r="AF29" s="411"/>
      <c r="AG29" s="432"/>
      <c r="AH29" s="449" t="s">
        <v>71</v>
      </c>
      <c r="AI29" s="450"/>
      <c r="AJ29" s="450"/>
      <c r="AK29" s="450"/>
      <c r="AL29" s="450"/>
      <c r="AM29" s="451"/>
      <c r="AR29" s="82" t="s">
        <v>72</v>
      </c>
      <c r="AS29" s="85">
        <v>6.4999999999999997E-3</v>
      </c>
    </row>
    <row r="30" spans="1:51" x14ac:dyDescent="0.2">
      <c r="A30" s="261">
        <f>MEMORIA!A10</f>
        <v>1</v>
      </c>
      <c r="B30" s="355"/>
      <c r="C30" s="356"/>
      <c r="D30" s="355"/>
      <c r="E30" s="356"/>
      <c r="F30" s="357" t="str">
        <f>MEMORIA!B10</f>
        <v>SERVIÇOS PRELIMINARES</v>
      </c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9"/>
      <c r="S30" s="363"/>
      <c r="T30" s="364"/>
      <c r="U30" s="365"/>
      <c r="V30" s="366"/>
      <c r="W30" s="367"/>
      <c r="X30" s="368"/>
      <c r="Y30" s="369"/>
      <c r="Z30" s="370"/>
      <c r="AA30" s="371" t="str">
        <f>IF(S30="","",ROUND(U30*X30,2))</f>
        <v/>
      </c>
      <c r="AB30" s="372"/>
      <c r="AC30" s="372"/>
      <c r="AD30" s="373"/>
      <c r="AE30" s="388" t="str">
        <f>IF(S30="","",ROUND(X30*(1+$AI$18),2))</f>
        <v/>
      </c>
      <c r="AF30" s="389"/>
      <c r="AG30" s="389"/>
      <c r="AH30" s="389" t="str">
        <f>IF(S30="","",ROUND(U30*AE30,2))</f>
        <v/>
      </c>
      <c r="AI30" s="389"/>
      <c r="AJ30" s="389"/>
      <c r="AK30" s="389"/>
      <c r="AL30" s="389"/>
      <c r="AM30" s="390"/>
      <c r="AR30" s="82" t="s">
        <v>73</v>
      </c>
      <c r="AS30" s="85">
        <v>0.03</v>
      </c>
      <c r="AU30" s="56"/>
      <c r="AV30" s="56"/>
      <c r="AW30" s="360"/>
      <c r="AX30" s="360"/>
      <c r="AY30" s="360"/>
    </row>
    <row r="31" spans="1:51" ht="26.25" customHeight="1" x14ac:dyDescent="0.2">
      <c r="A31" s="249" t="str">
        <f>MEMORIA!A11</f>
        <v>1.1</v>
      </c>
      <c r="B31" s="391" t="s">
        <v>102</v>
      </c>
      <c r="C31" s="392"/>
      <c r="D31" s="393" t="s">
        <v>74</v>
      </c>
      <c r="E31" s="394"/>
      <c r="F31" s="395" t="str">
        <f>MEMORIA!B11</f>
        <v>PLACA DE OBRA EM CHAPA DE ACO GALVANIZADO</v>
      </c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7"/>
      <c r="S31" s="495" t="s">
        <v>30</v>
      </c>
      <c r="T31" s="496"/>
      <c r="U31" s="497">
        <f>MEMORIA!F11</f>
        <v>2.5</v>
      </c>
      <c r="V31" s="498"/>
      <c r="W31" s="499"/>
      <c r="X31" s="500">
        <v>296.87</v>
      </c>
      <c r="Y31" s="501"/>
      <c r="Z31" s="502"/>
      <c r="AA31" s="503">
        <f>ROUND(X31*U31,2)</f>
        <v>742.18</v>
      </c>
      <c r="AB31" s="504"/>
      <c r="AC31" s="504"/>
      <c r="AD31" s="505"/>
      <c r="AE31" s="384">
        <f>ROUND(X31*(1+AI$18),2)</f>
        <v>376.28</v>
      </c>
      <c r="AF31" s="374"/>
      <c r="AG31" s="374"/>
      <c r="AH31" s="374">
        <f>ROUND(AE31*U31,2)</f>
        <v>940.7</v>
      </c>
      <c r="AI31" s="374"/>
      <c r="AJ31" s="374"/>
      <c r="AK31" s="374"/>
      <c r="AL31" s="374"/>
      <c r="AM31" s="375"/>
      <c r="AP31" s="89"/>
      <c r="AU31" s="56"/>
      <c r="AV31" s="56"/>
      <c r="AW31" s="360"/>
      <c r="AX31" s="360"/>
      <c r="AY31" s="360"/>
    </row>
    <row r="32" spans="1:51" ht="15" x14ac:dyDescent="0.2">
      <c r="A32" s="249"/>
      <c r="B32" s="188"/>
      <c r="C32" s="187"/>
      <c r="D32" s="188"/>
      <c r="E32" s="187"/>
      <c r="F32" s="376" t="s">
        <v>75</v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8"/>
      <c r="S32" s="262"/>
      <c r="T32" s="263"/>
      <c r="U32" s="184"/>
      <c r="V32" s="185"/>
      <c r="W32" s="186"/>
      <c r="X32" s="379"/>
      <c r="Y32" s="380"/>
      <c r="Z32" s="380"/>
      <c r="AA32" s="381">
        <f>SUM(AA31)</f>
        <v>742.18</v>
      </c>
      <c r="AB32" s="382"/>
      <c r="AC32" s="382"/>
      <c r="AD32" s="383"/>
      <c r="AE32" s="384"/>
      <c r="AF32" s="374"/>
      <c r="AG32" s="374"/>
      <c r="AH32" s="385">
        <f>SUM(AH31)</f>
        <v>940.7</v>
      </c>
      <c r="AI32" s="386"/>
      <c r="AJ32" s="386"/>
      <c r="AK32" s="386"/>
      <c r="AL32" s="386"/>
      <c r="AM32" s="387"/>
      <c r="AP32" s="89"/>
      <c r="AU32" s="56"/>
      <c r="AV32" s="56"/>
      <c r="AW32" s="361"/>
      <c r="AX32" s="361"/>
      <c r="AY32" s="361"/>
    </row>
    <row r="33" spans="1:51" ht="15" x14ac:dyDescent="0.2">
      <c r="A33" s="249"/>
      <c r="B33" s="521"/>
      <c r="C33" s="392"/>
      <c r="D33" s="522"/>
      <c r="E33" s="394"/>
      <c r="F33" s="523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5"/>
      <c r="S33" s="495"/>
      <c r="T33" s="496"/>
      <c r="U33" s="497"/>
      <c r="V33" s="498"/>
      <c r="W33" s="499"/>
      <c r="X33" s="526"/>
      <c r="Y33" s="527"/>
      <c r="Z33" s="527"/>
      <c r="AA33" s="503"/>
      <c r="AB33" s="504"/>
      <c r="AC33" s="504"/>
      <c r="AD33" s="505"/>
      <c r="AE33" s="384"/>
      <c r="AF33" s="374"/>
      <c r="AG33" s="374"/>
      <c r="AH33" s="374"/>
      <c r="AI33" s="374"/>
      <c r="AJ33" s="374"/>
      <c r="AK33" s="374"/>
      <c r="AL33" s="374"/>
      <c r="AM33" s="375"/>
      <c r="AU33" s="56"/>
      <c r="AV33" s="56"/>
      <c r="AW33" s="362"/>
      <c r="AX33" s="362"/>
      <c r="AY33" s="362"/>
    </row>
    <row r="34" spans="1:51" ht="15" x14ac:dyDescent="0.2">
      <c r="A34" s="260">
        <v>2</v>
      </c>
      <c r="B34" s="506"/>
      <c r="C34" s="507"/>
      <c r="D34" s="508"/>
      <c r="E34" s="509"/>
      <c r="F34" s="510" t="str">
        <f>MEMORIA!B13</f>
        <v>PAVIMENTAÇÃO ASFÁLTICA</v>
      </c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2"/>
      <c r="S34" s="513"/>
      <c r="T34" s="514"/>
      <c r="U34" s="365"/>
      <c r="V34" s="366"/>
      <c r="W34" s="367"/>
      <c r="X34" s="515"/>
      <c r="Y34" s="516"/>
      <c r="Z34" s="517"/>
      <c r="AA34" s="518"/>
      <c r="AB34" s="519"/>
      <c r="AC34" s="519"/>
      <c r="AD34" s="520"/>
      <c r="AE34" s="528"/>
      <c r="AF34" s="529"/>
      <c r="AG34" s="529"/>
      <c r="AH34" s="529"/>
      <c r="AI34" s="529"/>
      <c r="AJ34" s="529"/>
      <c r="AK34" s="529"/>
      <c r="AL34" s="529"/>
      <c r="AM34" s="530"/>
      <c r="AP34" s="96"/>
      <c r="AU34" s="56"/>
      <c r="AV34" s="56"/>
      <c r="AW34" s="362"/>
      <c r="AX34" s="362"/>
      <c r="AY34" s="362"/>
    </row>
    <row r="35" spans="1:51" ht="35.1" customHeight="1" x14ac:dyDescent="0.2">
      <c r="A35" s="250" t="s">
        <v>3</v>
      </c>
      <c r="B35" s="521">
        <v>100576</v>
      </c>
      <c r="C35" s="392"/>
      <c r="D35" s="393" t="s">
        <v>74</v>
      </c>
      <c r="E35" s="394"/>
      <c r="F35" s="531" t="s">
        <v>200</v>
      </c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7"/>
      <c r="S35" s="495" t="s">
        <v>30</v>
      </c>
      <c r="T35" s="496"/>
      <c r="U35" s="497">
        <f>MEMORIA!F14</f>
        <v>4048.2</v>
      </c>
      <c r="V35" s="498"/>
      <c r="W35" s="499"/>
      <c r="X35" s="532">
        <v>1.34</v>
      </c>
      <c r="Y35" s="527"/>
      <c r="Z35" s="527"/>
      <c r="AA35" s="503">
        <f t="shared" ref="AA35:AA41" si="0">ROUND(X35*U35,2)</f>
        <v>5424.59</v>
      </c>
      <c r="AB35" s="504"/>
      <c r="AC35" s="504"/>
      <c r="AD35" s="505"/>
      <c r="AE35" s="384">
        <f t="shared" ref="AE35:AE41" si="1">ROUND(X35*(1+AI$18),2)</f>
        <v>1.7</v>
      </c>
      <c r="AF35" s="374"/>
      <c r="AG35" s="374"/>
      <c r="AH35" s="374">
        <f t="shared" ref="AH35:AH37" si="2">ROUND(AE35*U35,2)</f>
        <v>6881.94</v>
      </c>
      <c r="AI35" s="374"/>
      <c r="AJ35" s="374"/>
      <c r="AK35" s="374"/>
      <c r="AL35" s="374"/>
      <c r="AM35" s="375"/>
      <c r="AP35" s="104"/>
      <c r="AS35" s="89"/>
      <c r="AU35" s="56"/>
      <c r="AV35" s="56"/>
      <c r="AW35" s="360"/>
      <c r="AX35" s="360"/>
      <c r="AY35" s="360"/>
    </row>
    <row r="36" spans="1:51" ht="69.95" customHeight="1" x14ac:dyDescent="0.2">
      <c r="A36" s="250" t="s">
        <v>22</v>
      </c>
      <c r="B36" s="391">
        <v>100573</v>
      </c>
      <c r="C36" s="392"/>
      <c r="D36" s="393" t="s">
        <v>74</v>
      </c>
      <c r="E36" s="394"/>
      <c r="F36" s="531" t="s">
        <v>212</v>
      </c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7"/>
      <c r="S36" s="495" t="s">
        <v>29</v>
      </c>
      <c r="T36" s="496"/>
      <c r="U36" s="497">
        <f>MEMORIA!J15</f>
        <v>607.23</v>
      </c>
      <c r="V36" s="498"/>
      <c r="W36" s="499"/>
      <c r="X36" s="532"/>
      <c r="Y36" s="527"/>
      <c r="Z36" s="527"/>
      <c r="AA36" s="503">
        <f t="shared" si="0"/>
        <v>0</v>
      </c>
      <c r="AB36" s="504"/>
      <c r="AC36" s="504"/>
      <c r="AD36" s="505"/>
      <c r="AE36" s="384">
        <f t="shared" si="1"/>
        <v>0</v>
      </c>
      <c r="AF36" s="374"/>
      <c r="AG36" s="374"/>
      <c r="AH36" s="374">
        <f t="shared" si="2"/>
        <v>0</v>
      </c>
      <c r="AI36" s="374"/>
      <c r="AJ36" s="374"/>
      <c r="AK36" s="374"/>
      <c r="AL36" s="374"/>
      <c r="AM36" s="375"/>
      <c r="AP36" s="89"/>
      <c r="AR36" s="96"/>
      <c r="AU36" s="56"/>
      <c r="AV36" s="56"/>
      <c r="AW36" s="360"/>
      <c r="AX36" s="360"/>
      <c r="AY36" s="360"/>
    </row>
    <row r="37" spans="1:51" ht="51" customHeight="1" x14ac:dyDescent="0.2">
      <c r="A37" s="250" t="s">
        <v>33</v>
      </c>
      <c r="B37" s="391">
        <v>97914</v>
      </c>
      <c r="C37" s="392"/>
      <c r="D37" s="393" t="s">
        <v>74</v>
      </c>
      <c r="E37" s="394"/>
      <c r="F37" s="531" t="s">
        <v>201</v>
      </c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7"/>
      <c r="S37" s="495" t="s">
        <v>76</v>
      </c>
      <c r="T37" s="496"/>
      <c r="U37" s="497">
        <f>MEMORIA!O16</f>
        <v>3643.38</v>
      </c>
      <c r="V37" s="498"/>
      <c r="W37" s="499"/>
      <c r="X37" s="532">
        <v>1.1100000000000001</v>
      </c>
      <c r="Y37" s="527"/>
      <c r="Z37" s="527"/>
      <c r="AA37" s="503">
        <f t="shared" si="0"/>
        <v>4044.15</v>
      </c>
      <c r="AB37" s="504"/>
      <c r="AC37" s="504"/>
      <c r="AD37" s="505"/>
      <c r="AE37" s="384">
        <f t="shared" si="1"/>
        <v>1.41</v>
      </c>
      <c r="AF37" s="374"/>
      <c r="AG37" s="374"/>
      <c r="AH37" s="374">
        <f t="shared" si="2"/>
        <v>5137.17</v>
      </c>
      <c r="AI37" s="374"/>
      <c r="AJ37" s="374"/>
      <c r="AK37" s="374"/>
      <c r="AL37" s="374"/>
      <c r="AM37" s="375"/>
      <c r="AP37" s="104"/>
      <c r="AU37" s="56"/>
      <c r="AV37" s="56"/>
      <c r="AW37" s="360"/>
      <c r="AX37" s="360"/>
      <c r="AY37" s="360"/>
    </row>
    <row r="38" spans="1:51" ht="25.5" customHeight="1" x14ac:dyDescent="0.2">
      <c r="A38" s="250" t="s">
        <v>96</v>
      </c>
      <c r="B38" s="521">
        <v>96401</v>
      </c>
      <c r="C38" s="392"/>
      <c r="D38" s="393" t="s">
        <v>74</v>
      </c>
      <c r="E38" s="394"/>
      <c r="F38" s="531" t="s">
        <v>202</v>
      </c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7"/>
      <c r="S38" s="495" t="s">
        <v>30</v>
      </c>
      <c r="T38" s="496"/>
      <c r="U38" s="497">
        <f>MEMORIA!F17</f>
        <v>4048.2</v>
      </c>
      <c r="V38" s="498"/>
      <c r="W38" s="499"/>
      <c r="X38" s="526">
        <v>6.24</v>
      </c>
      <c r="Y38" s="527"/>
      <c r="Z38" s="527"/>
      <c r="AA38" s="503">
        <f t="shared" si="0"/>
        <v>25260.77</v>
      </c>
      <c r="AB38" s="504"/>
      <c r="AC38" s="504"/>
      <c r="AD38" s="505"/>
      <c r="AE38" s="384">
        <f t="shared" si="1"/>
        <v>7.91</v>
      </c>
      <c r="AF38" s="374"/>
      <c r="AG38" s="374"/>
      <c r="AH38" s="374">
        <f t="shared" ref="AH38:AH41" si="3">ROUND(AE38*U38,2)</f>
        <v>32021.26</v>
      </c>
      <c r="AI38" s="374"/>
      <c r="AJ38" s="374"/>
      <c r="AK38" s="374"/>
      <c r="AL38" s="374"/>
      <c r="AM38" s="375"/>
      <c r="AU38" s="56"/>
      <c r="AV38" s="56"/>
      <c r="AW38" s="360"/>
      <c r="AX38" s="360"/>
      <c r="AY38" s="360"/>
    </row>
    <row r="39" spans="1:51" ht="24.95" customHeight="1" x14ac:dyDescent="0.2">
      <c r="A39" s="250" t="s">
        <v>97</v>
      </c>
      <c r="B39" s="521">
        <v>96402</v>
      </c>
      <c r="C39" s="392"/>
      <c r="D39" s="393" t="s">
        <v>74</v>
      </c>
      <c r="E39" s="394"/>
      <c r="F39" s="531" t="s">
        <v>203</v>
      </c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7"/>
      <c r="S39" s="495" t="s">
        <v>30</v>
      </c>
      <c r="T39" s="496"/>
      <c r="U39" s="497">
        <f>MEMORIA!F18</f>
        <v>3660.2</v>
      </c>
      <c r="V39" s="498"/>
      <c r="W39" s="499"/>
      <c r="X39" s="526">
        <v>1.59</v>
      </c>
      <c r="Y39" s="527"/>
      <c r="Z39" s="527"/>
      <c r="AA39" s="503">
        <f t="shared" si="0"/>
        <v>5819.72</v>
      </c>
      <c r="AB39" s="504"/>
      <c r="AC39" s="504"/>
      <c r="AD39" s="505"/>
      <c r="AE39" s="384">
        <f t="shared" si="1"/>
        <v>2.02</v>
      </c>
      <c r="AF39" s="374"/>
      <c r="AG39" s="374"/>
      <c r="AH39" s="374">
        <f t="shared" si="3"/>
        <v>7393.6</v>
      </c>
      <c r="AI39" s="374"/>
      <c r="AJ39" s="374"/>
      <c r="AK39" s="374"/>
      <c r="AL39" s="374"/>
      <c r="AM39" s="375"/>
      <c r="AR39" s="104"/>
      <c r="AU39" s="56"/>
      <c r="AV39" s="56"/>
      <c r="AW39" s="360"/>
      <c r="AX39" s="360"/>
      <c r="AY39" s="360"/>
    </row>
    <row r="40" spans="1:51" ht="45" customHeight="1" x14ac:dyDescent="0.2">
      <c r="A40" s="250" t="s">
        <v>98</v>
      </c>
      <c r="B40" s="506">
        <v>95995</v>
      </c>
      <c r="C40" s="507"/>
      <c r="D40" s="533" t="s">
        <v>74</v>
      </c>
      <c r="E40" s="509"/>
      <c r="F40" s="531" t="s">
        <v>206</v>
      </c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7"/>
      <c r="S40" s="495" t="s">
        <v>207</v>
      </c>
      <c r="T40" s="496"/>
      <c r="U40" s="497">
        <v>101.71</v>
      </c>
      <c r="V40" s="498"/>
      <c r="W40" s="499"/>
      <c r="X40" s="532">
        <v>1005.27</v>
      </c>
      <c r="Y40" s="527"/>
      <c r="Z40" s="527"/>
      <c r="AA40" s="503">
        <f t="shared" si="0"/>
        <v>102246.01</v>
      </c>
      <c r="AB40" s="504"/>
      <c r="AC40" s="504"/>
      <c r="AD40" s="505"/>
      <c r="AE40" s="384">
        <f t="shared" si="1"/>
        <v>1274.18</v>
      </c>
      <c r="AF40" s="374"/>
      <c r="AG40" s="374"/>
      <c r="AH40" s="374">
        <f t="shared" si="3"/>
        <v>129596.85</v>
      </c>
      <c r="AI40" s="374"/>
      <c r="AJ40" s="374"/>
      <c r="AK40" s="374"/>
      <c r="AL40" s="374"/>
      <c r="AM40" s="375"/>
      <c r="AP40" s="89"/>
      <c r="AU40" s="56"/>
      <c r="AV40" s="56"/>
      <c r="AW40" s="360"/>
      <c r="AX40" s="360"/>
      <c r="AY40" s="360"/>
    </row>
    <row r="41" spans="1:51" ht="45" customHeight="1" x14ac:dyDescent="0.2">
      <c r="A41" s="250" t="s">
        <v>99</v>
      </c>
      <c r="B41" s="521">
        <v>97915</v>
      </c>
      <c r="C41" s="392"/>
      <c r="D41" s="393" t="s">
        <v>74</v>
      </c>
      <c r="E41" s="394"/>
      <c r="F41" s="531" t="s">
        <v>204</v>
      </c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7"/>
      <c r="S41" s="535" t="s">
        <v>205</v>
      </c>
      <c r="T41" s="536"/>
      <c r="U41" s="497">
        <v>10882.54</v>
      </c>
      <c r="V41" s="498"/>
      <c r="W41" s="499"/>
      <c r="X41" s="526">
        <v>0.78</v>
      </c>
      <c r="Y41" s="527"/>
      <c r="Z41" s="527"/>
      <c r="AA41" s="503">
        <f t="shared" si="0"/>
        <v>8488.3799999999992</v>
      </c>
      <c r="AB41" s="504"/>
      <c r="AC41" s="504"/>
      <c r="AD41" s="505"/>
      <c r="AE41" s="384">
        <f t="shared" si="1"/>
        <v>0.99</v>
      </c>
      <c r="AF41" s="374"/>
      <c r="AG41" s="374"/>
      <c r="AH41" s="374">
        <f t="shared" si="3"/>
        <v>10773.71</v>
      </c>
      <c r="AI41" s="374"/>
      <c r="AJ41" s="374"/>
      <c r="AK41" s="374"/>
      <c r="AL41" s="374"/>
      <c r="AM41" s="375"/>
      <c r="AU41" s="56"/>
      <c r="AV41" s="56"/>
      <c r="AW41" s="360"/>
      <c r="AX41" s="360"/>
      <c r="AY41" s="360"/>
    </row>
    <row r="42" spans="1:51" ht="21.75" customHeight="1" x14ac:dyDescent="0.2">
      <c r="A42" s="249"/>
      <c r="B42" s="521"/>
      <c r="C42" s="392"/>
      <c r="D42" s="522"/>
      <c r="E42" s="394"/>
      <c r="F42" s="376" t="s">
        <v>77</v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8"/>
      <c r="S42" s="495"/>
      <c r="T42" s="496"/>
      <c r="U42" s="497"/>
      <c r="V42" s="498"/>
      <c r="W42" s="499"/>
      <c r="X42" s="526"/>
      <c r="Y42" s="527"/>
      <c r="Z42" s="534"/>
      <c r="AA42" s="381">
        <f>SUM(AA35:AD41)</f>
        <v>151283.62</v>
      </c>
      <c r="AB42" s="382"/>
      <c r="AC42" s="382"/>
      <c r="AD42" s="383"/>
      <c r="AE42" s="384"/>
      <c r="AF42" s="374"/>
      <c r="AG42" s="374"/>
      <c r="AH42" s="385">
        <f>SUM(AH35:AM41)</f>
        <v>191804.53</v>
      </c>
      <c r="AI42" s="386"/>
      <c r="AJ42" s="386"/>
      <c r="AK42" s="386"/>
      <c r="AL42" s="386"/>
      <c r="AM42" s="387"/>
      <c r="AP42" s="89">
        <v>264348.01</v>
      </c>
      <c r="AR42" s="104"/>
      <c r="AU42" s="56"/>
      <c r="AV42" s="56"/>
      <c r="AW42" s="362"/>
      <c r="AX42" s="362"/>
      <c r="AY42" s="362"/>
    </row>
    <row r="43" spans="1:51" ht="15" x14ac:dyDescent="0.2">
      <c r="A43" s="251"/>
      <c r="B43" s="521"/>
      <c r="C43" s="392"/>
      <c r="D43" s="522"/>
      <c r="E43" s="394"/>
      <c r="F43" s="537"/>
      <c r="G43" s="538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9"/>
      <c r="S43" s="495"/>
      <c r="T43" s="496"/>
      <c r="U43" s="540"/>
      <c r="V43" s="541"/>
      <c r="W43" s="542"/>
      <c r="X43" s="543"/>
      <c r="Y43" s="544"/>
      <c r="Z43" s="545"/>
      <c r="AA43" s="546"/>
      <c r="AB43" s="546"/>
      <c r="AC43" s="546"/>
      <c r="AD43" s="547"/>
      <c r="AE43" s="384"/>
      <c r="AF43" s="374"/>
      <c r="AG43" s="374"/>
      <c r="AH43" s="548"/>
      <c r="AI43" s="548"/>
      <c r="AJ43" s="548"/>
      <c r="AK43" s="548"/>
      <c r="AL43" s="548"/>
      <c r="AM43" s="549"/>
      <c r="AU43" s="56"/>
      <c r="AV43" s="56"/>
      <c r="AW43" s="398"/>
      <c r="AX43" s="398"/>
      <c r="AY43" s="398"/>
    </row>
    <row r="44" spans="1:51" ht="15" x14ac:dyDescent="0.2">
      <c r="A44" s="260">
        <v>3</v>
      </c>
      <c r="B44" s="506"/>
      <c r="C44" s="507"/>
      <c r="D44" s="508"/>
      <c r="E44" s="509"/>
      <c r="F44" s="510" t="str">
        <f>MEMORIA!B21</f>
        <v>DRENAGEM SUPERFICIAL</v>
      </c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2"/>
      <c r="S44" s="513"/>
      <c r="T44" s="514"/>
      <c r="U44" s="365"/>
      <c r="V44" s="366"/>
      <c r="W44" s="367"/>
      <c r="X44" s="515"/>
      <c r="Y44" s="516"/>
      <c r="Z44" s="517"/>
      <c r="AA44" s="518"/>
      <c r="AB44" s="519"/>
      <c r="AC44" s="519"/>
      <c r="AD44" s="520"/>
      <c r="AE44" s="528"/>
      <c r="AF44" s="529"/>
      <c r="AG44" s="529"/>
      <c r="AH44" s="529"/>
      <c r="AI44" s="529"/>
      <c r="AJ44" s="529"/>
      <c r="AK44" s="529"/>
      <c r="AL44" s="529"/>
      <c r="AM44" s="530"/>
      <c r="AU44" s="56"/>
      <c r="AV44" s="56"/>
      <c r="AW44" s="362"/>
      <c r="AX44" s="362"/>
      <c r="AY44" s="362"/>
    </row>
    <row r="45" spans="1:51" ht="58.5" customHeight="1" x14ac:dyDescent="0.2">
      <c r="A45" s="250" t="s">
        <v>5</v>
      </c>
      <c r="B45" s="391">
        <v>94273</v>
      </c>
      <c r="C45" s="392"/>
      <c r="D45" s="393" t="s">
        <v>74</v>
      </c>
      <c r="E45" s="394"/>
      <c r="F45" s="531" t="str">
        <f>MEMORIA!B22</f>
        <v>ASSENTAMENTO DE GUIA (MEIO-FIO) EM TRECHO RETO, CONFECCIONADA EM CONCRETO PRÉ-FABRICADO, DIMENSÕES 100X15X13X30 CM (COMPRIMENTO X BASE INFERIOR X BASE SUPERIOR X ALTURA), PARA VIAS URBANAS (USO VIÁRIO). AF_06/2016</v>
      </c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7"/>
      <c r="S45" s="495" t="s">
        <v>79</v>
      </c>
      <c r="T45" s="496"/>
      <c r="U45" s="497">
        <v>792</v>
      </c>
      <c r="V45" s="498"/>
      <c r="W45" s="499"/>
      <c r="X45" s="526">
        <v>32.9</v>
      </c>
      <c r="Y45" s="527"/>
      <c r="Z45" s="527"/>
      <c r="AA45" s="503">
        <f>ROUND(X45*U45,2)</f>
        <v>26056.799999999999</v>
      </c>
      <c r="AB45" s="504"/>
      <c r="AC45" s="504"/>
      <c r="AD45" s="505"/>
      <c r="AE45" s="384">
        <f>ROUND(X45*(1+AI$18),2)</f>
        <v>41.7</v>
      </c>
      <c r="AF45" s="374"/>
      <c r="AG45" s="374"/>
      <c r="AH45" s="374">
        <f>ROUND(AE45*U45,2)</f>
        <v>33026.400000000001</v>
      </c>
      <c r="AI45" s="374"/>
      <c r="AJ45" s="374"/>
      <c r="AK45" s="374"/>
      <c r="AL45" s="374"/>
      <c r="AM45" s="375"/>
      <c r="AP45" s="96"/>
      <c r="AU45" s="56"/>
      <c r="AV45" s="56"/>
      <c r="AW45" s="360"/>
      <c r="AX45" s="360"/>
      <c r="AY45" s="360"/>
    </row>
    <row r="46" spans="1:51" ht="50.1" customHeight="1" x14ac:dyDescent="0.2">
      <c r="A46" s="250" t="s">
        <v>26</v>
      </c>
      <c r="B46" s="550">
        <v>94289</v>
      </c>
      <c r="C46" s="551"/>
      <c r="D46" s="393" t="s">
        <v>74</v>
      </c>
      <c r="E46" s="394"/>
      <c r="F46" s="531" t="s">
        <v>208</v>
      </c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7"/>
      <c r="S46" s="495" t="s">
        <v>79</v>
      </c>
      <c r="T46" s="496"/>
      <c r="U46" s="497">
        <v>792</v>
      </c>
      <c r="V46" s="498"/>
      <c r="W46" s="499"/>
      <c r="X46" s="526">
        <v>31.72</v>
      </c>
      <c r="Y46" s="527"/>
      <c r="Z46" s="527"/>
      <c r="AA46" s="503">
        <f>ROUND(X46*U46,2)</f>
        <v>25122.240000000002</v>
      </c>
      <c r="AB46" s="504"/>
      <c r="AC46" s="504"/>
      <c r="AD46" s="505"/>
      <c r="AE46" s="384">
        <f>ROUND(X46*(1+AI$18),2)</f>
        <v>40.21</v>
      </c>
      <c r="AF46" s="374"/>
      <c r="AG46" s="374"/>
      <c r="AH46" s="374">
        <f>ROUND(AE46*U46,2)</f>
        <v>31846.32</v>
      </c>
      <c r="AI46" s="374"/>
      <c r="AJ46" s="374"/>
      <c r="AK46" s="374"/>
      <c r="AL46" s="374"/>
      <c r="AM46" s="375"/>
      <c r="AU46" s="56"/>
      <c r="AV46" s="56"/>
      <c r="AW46" s="360"/>
      <c r="AX46" s="360"/>
      <c r="AY46" s="360"/>
    </row>
    <row r="47" spans="1:51" s="145" customFormat="1" ht="50.1" customHeight="1" x14ac:dyDescent="0.2">
      <c r="A47" s="250" t="s">
        <v>209</v>
      </c>
      <c r="B47" s="550">
        <v>94293</v>
      </c>
      <c r="C47" s="551"/>
      <c r="D47" s="393" t="s">
        <v>74</v>
      </c>
      <c r="E47" s="394"/>
      <c r="F47" s="531" t="s">
        <v>210</v>
      </c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7"/>
      <c r="S47" s="495" t="s">
        <v>79</v>
      </c>
      <c r="T47" s="496"/>
      <c r="U47" s="497">
        <v>77</v>
      </c>
      <c r="V47" s="498"/>
      <c r="W47" s="499"/>
      <c r="X47" s="526">
        <v>97.96</v>
      </c>
      <c r="Y47" s="527"/>
      <c r="Z47" s="527"/>
      <c r="AA47" s="503">
        <f>ROUND(X47*U47,2)</f>
        <v>7542.92</v>
      </c>
      <c r="AB47" s="504"/>
      <c r="AC47" s="504"/>
      <c r="AD47" s="505"/>
      <c r="AE47" s="384">
        <f>ROUND(X47*(1+AI$18),2)</f>
        <v>124.16</v>
      </c>
      <c r="AF47" s="374"/>
      <c r="AG47" s="374"/>
      <c r="AH47" s="374">
        <f>ROUND(AE47*U47,2)</f>
        <v>9560.32</v>
      </c>
      <c r="AI47" s="374"/>
      <c r="AJ47" s="374"/>
      <c r="AK47" s="374"/>
      <c r="AL47" s="374"/>
      <c r="AM47" s="375"/>
      <c r="AT47" s="51"/>
      <c r="AU47" s="56"/>
      <c r="AV47" s="56"/>
      <c r="AW47" s="316"/>
      <c r="AX47" s="316"/>
      <c r="AY47" s="316"/>
    </row>
    <row r="48" spans="1:51" ht="15.75" customHeight="1" x14ac:dyDescent="0.2">
      <c r="A48" s="250"/>
      <c r="B48" s="521"/>
      <c r="C48" s="392"/>
      <c r="D48" s="393"/>
      <c r="E48" s="394"/>
      <c r="F48" s="376" t="s">
        <v>78</v>
      </c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8"/>
      <c r="S48" s="495"/>
      <c r="T48" s="496"/>
      <c r="U48" s="497"/>
      <c r="V48" s="498"/>
      <c r="W48" s="499"/>
      <c r="X48" s="526"/>
      <c r="Y48" s="527"/>
      <c r="Z48" s="534"/>
      <c r="AA48" s="381">
        <f>SUM(AA45:AD46)</f>
        <v>51179.040000000001</v>
      </c>
      <c r="AB48" s="382"/>
      <c r="AC48" s="382"/>
      <c r="AD48" s="383"/>
      <c r="AE48" s="384"/>
      <c r="AF48" s="374"/>
      <c r="AG48" s="374"/>
      <c r="AH48" s="385">
        <f>SUM(AH45:AN47)</f>
        <v>74433.040000000008</v>
      </c>
      <c r="AI48" s="386"/>
      <c r="AJ48" s="386"/>
      <c r="AK48" s="386"/>
      <c r="AL48" s="386"/>
      <c r="AM48" s="387"/>
      <c r="AP48" s="50">
        <v>146458.82</v>
      </c>
      <c r="AU48" s="56"/>
      <c r="AV48" s="56"/>
      <c r="AW48" s="362"/>
      <c r="AX48" s="362"/>
      <c r="AY48" s="362"/>
    </row>
    <row r="49" spans="1:51" ht="15.75" customHeight="1" x14ac:dyDescent="0.2">
      <c r="A49" s="251"/>
      <c r="B49" s="522"/>
      <c r="C49" s="394"/>
      <c r="D49" s="522"/>
      <c r="E49" s="394"/>
      <c r="F49" s="537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9"/>
      <c r="S49" s="495"/>
      <c r="T49" s="496"/>
      <c r="U49" s="540"/>
      <c r="V49" s="541"/>
      <c r="W49" s="542"/>
      <c r="X49" s="543"/>
      <c r="Y49" s="544"/>
      <c r="Z49" s="545"/>
      <c r="AA49" s="546"/>
      <c r="AB49" s="546"/>
      <c r="AC49" s="546"/>
      <c r="AD49" s="547"/>
      <c r="AE49" s="384"/>
      <c r="AF49" s="374"/>
      <c r="AG49" s="374"/>
      <c r="AH49" s="548"/>
      <c r="AI49" s="548"/>
      <c r="AJ49" s="548"/>
      <c r="AK49" s="548"/>
      <c r="AL49" s="548"/>
      <c r="AM49" s="549"/>
      <c r="AU49" s="56"/>
      <c r="AV49" s="56"/>
      <c r="AW49" s="398"/>
      <c r="AX49" s="398"/>
      <c r="AY49" s="398"/>
    </row>
    <row r="50" spans="1:51" ht="17.25" customHeight="1" x14ac:dyDescent="0.2">
      <c r="A50" s="252"/>
      <c r="B50" s="225"/>
      <c r="C50" s="225"/>
      <c r="D50" s="225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289" t="s">
        <v>80</v>
      </c>
      <c r="X50" s="557" t="s">
        <v>81</v>
      </c>
      <c r="Y50" s="553"/>
      <c r="Z50" s="553"/>
      <c r="AA50" s="553"/>
      <c r="AB50" s="553"/>
      <c r="AC50" s="553"/>
      <c r="AD50" s="554"/>
      <c r="AE50" s="555" t="s">
        <v>82</v>
      </c>
      <c r="AF50" s="553"/>
      <c r="AG50" s="553"/>
      <c r="AH50" s="553">
        <f>AH48+AH42+AH32</f>
        <v>267178.27</v>
      </c>
      <c r="AI50" s="553"/>
      <c r="AJ50" s="553"/>
      <c r="AK50" s="553"/>
      <c r="AL50" s="553"/>
      <c r="AM50" s="556"/>
      <c r="AU50" s="56"/>
      <c r="AV50" s="56"/>
      <c r="AW50" s="56"/>
      <c r="AX50" s="56"/>
      <c r="AY50" s="56"/>
    </row>
    <row r="51" spans="1:51" ht="12" customHeight="1" x14ac:dyDescent="0.2">
      <c r="A51" s="253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54"/>
      <c r="AP51" s="96"/>
    </row>
    <row r="52" spans="1:51" ht="15" customHeight="1" x14ac:dyDescent="0.2">
      <c r="A52" s="255"/>
      <c r="B52" s="226"/>
      <c r="C52" s="226"/>
      <c r="D52" s="226"/>
      <c r="E52" s="552" t="s">
        <v>83</v>
      </c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241"/>
      <c r="AP52" s="96"/>
      <c r="AR52" s="96"/>
    </row>
    <row r="53" spans="1:51" ht="12" customHeight="1" x14ac:dyDescent="0.2">
      <c r="A53" s="255"/>
      <c r="B53" s="226"/>
      <c r="C53" s="226"/>
      <c r="D53" s="226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241"/>
      <c r="AR53" s="96"/>
    </row>
    <row r="54" spans="1:51" ht="12" customHeight="1" x14ac:dyDescent="0.2">
      <c r="A54" s="255"/>
      <c r="B54" s="226"/>
      <c r="C54" s="226"/>
      <c r="D54" s="226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241"/>
      <c r="AR54" s="96"/>
    </row>
    <row r="55" spans="1:51" s="56" customFormat="1" ht="12.75" x14ac:dyDescent="0.2">
      <c r="A55" s="255"/>
      <c r="B55" s="226"/>
      <c r="C55" s="226"/>
      <c r="D55" s="226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241"/>
      <c r="AP55" s="99"/>
      <c r="AT55" s="57"/>
    </row>
    <row r="56" spans="1:51" s="90" customFormat="1" ht="12" customHeight="1" x14ac:dyDescent="0.2">
      <c r="A56" s="255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41"/>
      <c r="AT56" s="91"/>
    </row>
    <row r="57" spans="1:51" ht="12" customHeight="1" x14ac:dyDescent="0.2">
      <c r="A57" s="255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41"/>
    </row>
    <row r="58" spans="1:51" ht="12" customHeight="1" x14ac:dyDescent="0.2">
      <c r="A58" s="255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41"/>
      <c r="AP58" s="146"/>
    </row>
    <row r="59" spans="1:51" ht="12.75" x14ac:dyDescent="0.2">
      <c r="A59" s="255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49"/>
      <c r="Y59" s="49"/>
      <c r="Z59" s="49"/>
      <c r="AA59" s="49"/>
      <c r="AB59" s="49"/>
      <c r="AC59" s="49"/>
      <c r="AD59" s="49"/>
      <c r="AE59" s="226"/>
      <c r="AF59" s="226"/>
      <c r="AG59" s="226"/>
      <c r="AH59" s="226"/>
      <c r="AI59" s="226"/>
      <c r="AJ59" s="226"/>
      <c r="AK59" s="226"/>
      <c r="AL59" s="226"/>
      <c r="AM59" s="241"/>
      <c r="AP59" s="145"/>
    </row>
    <row r="60" spans="1:51" ht="6" customHeight="1" x14ac:dyDescent="0.2">
      <c r="A60" s="255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41"/>
      <c r="AP60" s="146"/>
    </row>
    <row r="61" spans="1:51" ht="12" customHeight="1" x14ac:dyDescent="0.2">
      <c r="A61" s="255"/>
      <c r="B61" s="226"/>
      <c r="C61" s="226"/>
      <c r="D61" s="226"/>
      <c r="E61" s="228" t="s">
        <v>213</v>
      </c>
      <c r="F61" s="227"/>
      <c r="G61" s="227"/>
      <c r="H61" s="227"/>
      <c r="I61" s="227"/>
      <c r="J61" s="227"/>
      <c r="K61" s="227"/>
      <c r="L61" s="227"/>
      <c r="M61" s="227"/>
      <c r="N61" s="218"/>
      <c r="O61" s="227"/>
      <c r="P61" s="227"/>
      <c r="Q61" s="227"/>
      <c r="R61" s="227"/>
      <c r="S61" s="227"/>
      <c r="T61" s="227"/>
      <c r="U61" s="227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41"/>
      <c r="AP61" s="145"/>
    </row>
    <row r="62" spans="1:51" ht="6" customHeight="1" x14ac:dyDescent="0.2">
      <c r="A62" s="255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41"/>
      <c r="AP62" s="146"/>
    </row>
    <row r="63" spans="1:51" ht="12" customHeight="1" thickBot="1" x14ac:dyDescent="0.25">
      <c r="A63" s="256"/>
      <c r="B63" s="257"/>
      <c r="C63" s="257"/>
      <c r="D63" s="257"/>
      <c r="E63" s="258" t="s">
        <v>214</v>
      </c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9"/>
      <c r="AP63" s="145"/>
    </row>
    <row r="64" spans="1:51" ht="6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P64" s="146"/>
    </row>
    <row r="65" spans="1:39" ht="12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</row>
    <row r="66" spans="1:39" ht="12" customHeigh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</row>
    <row r="67" spans="1:39" ht="12" customHeight="1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</row>
    <row r="68" spans="1:39" ht="12" customHeight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</row>
    <row r="69" spans="1:39" ht="12" customHeight="1" x14ac:dyDescent="0.2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</row>
    <row r="70" spans="1:39" ht="12" customHeight="1" x14ac:dyDescent="0.2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</row>
    <row r="71" spans="1:39" ht="12" customHeight="1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</row>
    <row r="72" spans="1:39" ht="12" customHeight="1" x14ac:dyDescent="0.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</row>
    <row r="73" spans="1:39" ht="12" customHeight="1" x14ac:dyDescent="0.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</row>
    <row r="74" spans="1:39" ht="12" customHeight="1" x14ac:dyDescent="0.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</row>
    <row r="75" spans="1:39" ht="12" customHeight="1" x14ac:dyDescent="0.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</row>
    <row r="76" spans="1:39" ht="12" customHeight="1" x14ac:dyDescent="0.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</row>
    <row r="77" spans="1:39" ht="12" customHeight="1" x14ac:dyDescent="0.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</row>
    <row r="78" spans="1:39" ht="12" customHeight="1" x14ac:dyDescent="0.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</row>
    <row r="79" spans="1:39" ht="12" customHeigh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</row>
    <row r="80" spans="1:39" ht="12" customHeigh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</row>
    <row r="81" spans="1:39" ht="12" customHeigh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</row>
    <row r="82" spans="1:39" ht="12" customHeigh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</row>
    <row r="83" spans="1:39" ht="12" customHeigh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</row>
    <row r="84" spans="1:39" ht="12" customHeigh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</row>
    <row r="85" spans="1:39" ht="12" customHeigh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</row>
    <row r="86" spans="1:39" ht="12" customHeigh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</row>
    <row r="87" spans="1:39" ht="12" customHeight="1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</row>
    <row r="88" spans="1:39" ht="12" customHeight="1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</row>
    <row r="89" spans="1:39" ht="12" customHeight="1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</row>
    <row r="90" spans="1:39" ht="12" customHeight="1" x14ac:dyDescent="0.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</row>
    <row r="91" spans="1:39" ht="12" customHeight="1" x14ac:dyDescent="0.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 spans="1:39" ht="12" customHeight="1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</row>
    <row r="93" spans="1:39" ht="12" customHeight="1" x14ac:dyDescent="0.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 spans="1:39" ht="12" customHeight="1" x14ac:dyDescent="0.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</row>
    <row r="95" spans="1:39" ht="12" customHeight="1" x14ac:dyDescent="0.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</row>
    <row r="96" spans="1:39" ht="12" customHeight="1" x14ac:dyDescent="0.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</row>
    <row r="97" spans="1:39" ht="12" customHeight="1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</row>
    <row r="98" spans="1:39" ht="12" customHeight="1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</row>
    <row r="99" spans="1:39" ht="12" customHeight="1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</row>
    <row r="100" spans="1:39" ht="12" customHeight="1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</row>
    <row r="101" spans="1:39" ht="12" customHeight="1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</row>
    <row r="102" spans="1:39" ht="12" customHeight="1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</row>
    <row r="103" spans="1:39" ht="12" customHeight="1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</row>
    <row r="104" spans="1:39" ht="12" customHeight="1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</row>
    <row r="105" spans="1:39" ht="12" customHeight="1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</row>
  </sheetData>
  <mergeCells count="246">
    <mergeCell ref="E52:AL55"/>
    <mergeCell ref="AA50:AD50"/>
    <mergeCell ref="AE50:AG50"/>
    <mergeCell ref="AH50:AM50"/>
    <mergeCell ref="X50:Z50"/>
    <mergeCell ref="AE46:AG46"/>
    <mergeCell ref="AH46:AM46"/>
    <mergeCell ref="AA48:AD48"/>
    <mergeCell ref="AE48:AG48"/>
    <mergeCell ref="AH48:AM48"/>
    <mergeCell ref="AA49:AD49"/>
    <mergeCell ref="AE49:AG49"/>
    <mergeCell ref="AH49:AM49"/>
    <mergeCell ref="AA46:AD46"/>
    <mergeCell ref="D47:E47"/>
    <mergeCell ref="F47:R47"/>
    <mergeCell ref="S47:T47"/>
    <mergeCell ref="U47:W47"/>
    <mergeCell ref="X47:Z47"/>
    <mergeCell ref="AA47:AD47"/>
    <mergeCell ref="AE47:AG47"/>
    <mergeCell ref="AH47:AM47"/>
    <mergeCell ref="B46:C46"/>
    <mergeCell ref="D46:E46"/>
    <mergeCell ref="F46:R46"/>
    <mergeCell ref="S46:T46"/>
    <mergeCell ref="U46:W46"/>
    <mergeCell ref="X46:Z46"/>
    <mergeCell ref="X48:Z48"/>
    <mergeCell ref="S49:T49"/>
    <mergeCell ref="B48:C48"/>
    <mergeCell ref="D48:E48"/>
    <mergeCell ref="F48:R48"/>
    <mergeCell ref="S48:T48"/>
    <mergeCell ref="U48:W48"/>
    <mergeCell ref="U49:W49"/>
    <mergeCell ref="X49:Z49"/>
    <mergeCell ref="B49:C49"/>
    <mergeCell ref="D49:E49"/>
    <mergeCell ref="F49:R49"/>
    <mergeCell ref="B47:C47"/>
    <mergeCell ref="B45:C45"/>
    <mergeCell ref="D45:E45"/>
    <mergeCell ref="F45:R45"/>
    <mergeCell ref="S45:T45"/>
    <mergeCell ref="U45:W45"/>
    <mergeCell ref="X45:Z45"/>
    <mergeCell ref="AA45:AD45"/>
    <mergeCell ref="AE45:AG45"/>
    <mergeCell ref="AH45:AM45"/>
    <mergeCell ref="B43:C43"/>
    <mergeCell ref="D43:E43"/>
    <mergeCell ref="F43:R43"/>
    <mergeCell ref="S43:T43"/>
    <mergeCell ref="U43:W43"/>
    <mergeCell ref="X43:Z43"/>
    <mergeCell ref="AE42:AG42"/>
    <mergeCell ref="AH42:AM42"/>
    <mergeCell ref="AE44:AG44"/>
    <mergeCell ref="AA43:AD43"/>
    <mergeCell ref="AE43:AG43"/>
    <mergeCell ref="AH43:AM43"/>
    <mergeCell ref="AH44:AM44"/>
    <mergeCell ref="B44:C44"/>
    <mergeCell ref="D44:E44"/>
    <mergeCell ref="F44:R44"/>
    <mergeCell ref="S44:T44"/>
    <mergeCell ref="U44:W44"/>
    <mergeCell ref="X44:Z44"/>
    <mergeCell ref="AA44:AD44"/>
    <mergeCell ref="AA41:AD41"/>
    <mergeCell ref="AE41:AG41"/>
    <mergeCell ref="AH41:AM41"/>
    <mergeCell ref="B42:C42"/>
    <mergeCell ref="D42:E42"/>
    <mergeCell ref="F42:R42"/>
    <mergeCell ref="S42:T42"/>
    <mergeCell ref="U42:W42"/>
    <mergeCell ref="X42:Z42"/>
    <mergeCell ref="AA42:AD42"/>
    <mergeCell ref="B41:C41"/>
    <mergeCell ref="D41:E41"/>
    <mergeCell ref="F41:R41"/>
    <mergeCell ref="S41:T41"/>
    <mergeCell ref="U41:W41"/>
    <mergeCell ref="X41:Z41"/>
    <mergeCell ref="AH39:AM39"/>
    <mergeCell ref="B40:C40"/>
    <mergeCell ref="D40:E40"/>
    <mergeCell ref="F40:R40"/>
    <mergeCell ref="S40:T40"/>
    <mergeCell ref="U40:W40"/>
    <mergeCell ref="X40:Z40"/>
    <mergeCell ref="AE40:AG40"/>
    <mergeCell ref="AH40:AM40"/>
    <mergeCell ref="AA40:AD40"/>
    <mergeCell ref="B39:C39"/>
    <mergeCell ref="D39:E39"/>
    <mergeCell ref="F39:R39"/>
    <mergeCell ref="S39:T39"/>
    <mergeCell ref="U39:W39"/>
    <mergeCell ref="X39:Z39"/>
    <mergeCell ref="AA39:AD39"/>
    <mergeCell ref="AE39:AG39"/>
    <mergeCell ref="AA37:AD37"/>
    <mergeCell ref="AE37:AG37"/>
    <mergeCell ref="AH37:AM37"/>
    <mergeCell ref="B38:C38"/>
    <mergeCell ref="D38:E38"/>
    <mergeCell ref="F38:R38"/>
    <mergeCell ref="S38:T38"/>
    <mergeCell ref="U38:W38"/>
    <mergeCell ref="X38:Z38"/>
    <mergeCell ref="AA38:AD38"/>
    <mergeCell ref="B37:C37"/>
    <mergeCell ref="D37:E37"/>
    <mergeCell ref="F37:R37"/>
    <mergeCell ref="S37:T37"/>
    <mergeCell ref="U37:W37"/>
    <mergeCell ref="X37:Z37"/>
    <mergeCell ref="AE38:AG38"/>
    <mergeCell ref="AH38:AM38"/>
    <mergeCell ref="B36:C36"/>
    <mergeCell ref="D36:E36"/>
    <mergeCell ref="F36:R36"/>
    <mergeCell ref="S36:T36"/>
    <mergeCell ref="U36:W36"/>
    <mergeCell ref="X36:Z36"/>
    <mergeCell ref="AA36:AD36"/>
    <mergeCell ref="AE36:AG36"/>
    <mergeCell ref="AH36:AM36"/>
    <mergeCell ref="B35:C35"/>
    <mergeCell ref="D35:E35"/>
    <mergeCell ref="F35:R35"/>
    <mergeCell ref="S35:T35"/>
    <mergeCell ref="U35:W35"/>
    <mergeCell ref="X35:Z35"/>
    <mergeCell ref="AA35:AD35"/>
    <mergeCell ref="AE35:AG35"/>
    <mergeCell ref="AH35:AM35"/>
    <mergeCell ref="S31:T31"/>
    <mergeCell ref="U31:W31"/>
    <mergeCell ref="X31:Z31"/>
    <mergeCell ref="AA31:AD31"/>
    <mergeCell ref="AE31:AG31"/>
    <mergeCell ref="AA33:AD33"/>
    <mergeCell ref="AE33:AG33"/>
    <mergeCell ref="AH33:AM33"/>
    <mergeCell ref="B34:C34"/>
    <mergeCell ref="D34:E34"/>
    <mergeCell ref="F34:R34"/>
    <mergeCell ref="S34:T34"/>
    <mergeCell ref="U34:W34"/>
    <mergeCell ref="X34:Z34"/>
    <mergeCell ref="AA34:AD34"/>
    <mergeCell ref="B33:C33"/>
    <mergeCell ref="D33:E33"/>
    <mergeCell ref="F33:R33"/>
    <mergeCell ref="S33:T33"/>
    <mergeCell ref="U33:W33"/>
    <mergeCell ref="X33:Z33"/>
    <mergeCell ref="AE34:AG34"/>
    <mergeCell ref="AH34:AM34"/>
    <mergeCell ref="A2:AM3"/>
    <mergeCell ref="A5:X5"/>
    <mergeCell ref="AD5:AM5"/>
    <mergeCell ref="A8:AC8"/>
    <mergeCell ref="AD8:AM8"/>
    <mergeCell ref="A11:V11"/>
    <mergeCell ref="W11:AK11"/>
    <mergeCell ref="AL11:AM11"/>
    <mergeCell ref="X20:AM25"/>
    <mergeCell ref="K21:L21"/>
    <mergeCell ref="N21:O21"/>
    <mergeCell ref="V21:W21"/>
    <mergeCell ref="K22:L22"/>
    <mergeCell ref="N22:O22"/>
    <mergeCell ref="V22:W22"/>
    <mergeCell ref="K23:L23"/>
    <mergeCell ref="N20:O20"/>
    <mergeCell ref="V20:W20"/>
    <mergeCell ref="N23:O23"/>
    <mergeCell ref="V23:W23"/>
    <mergeCell ref="K24:L24"/>
    <mergeCell ref="N24:O24"/>
    <mergeCell ref="V24:W24"/>
    <mergeCell ref="V25:W25"/>
    <mergeCell ref="A14:V14"/>
    <mergeCell ref="W14:AE14"/>
    <mergeCell ref="AF14:AM14"/>
    <mergeCell ref="P18:W19"/>
    <mergeCell ref="X18:AH19"/>
    <mergeCell ref="AI18:AM19"/>
    <mergeCell ref="K20:L20"/>
    <mergeCell ref="A27:A29"/>
    <mergeCell ref="F27:R29"/>
    <mergeCell ref="S27:T29"/>
    <mergeCell ref="U27:W29"/>
    <mergeCell ref="X27:AM27"/>
    <mergeCell ref="D28:E28"/>
    <mergeCell ref="X28:AD28"/>
    <mergeCell ref="AE28:AM28"/>
    <mergeCell ref="X29:Z29"/>
    <mergeCell ref="AA29:AD29"/>
    <mergeCell ref="AE29:AG29"/>
    <mergeCell ref="AH29:AM29"/>
    <mergeCell ref="J25:O25"/>
    <mergeCell ref="A18:O19"/>
    <mergeCell ref="AW35:AY35"/>
    <mergeCell ref="AW36:AY36"/>
    <mergeCell ref="AW37:AY37"/>
    <mergeCell ref="AW38:AY38"/>
    <mergeCell ref="AW49:AY49"/>
    <mergeCell ref="AW39:AY39"/>
    <mergeCell ref="AW40:AY40"/>
    <mergeCell ref="AW41:AY41"/>
    <mergeCell ref="AW42:AY42"/>
    <mergeCell ref="AW43:AY43"/>
    <mergeCell ref="AW44:AY44"/>
    <mergeCell ref="AW45:AY45"/>
    <mergeCell ref="AW46:AY46"/>
    <mergeCell ref="AW48:AY48"/>
    <mergeCell ref="AR27:AS27"/>
    <mergeCell ref="B30:C30"/>
    <mergeCell ref="D30:E30"/>
    <mergeCell ref="F30:R30"/>
    <mergeCell ref="AW30:AY30"/>
    <mergeCell ref="AW31:AY31"/>
    <mergeCell ref="AW32:AY32"/>
    <mergeCell ref="AW33:AY33"/>
    <mergeCell ref="AW34:AY34"/>
    <mergeCell ref="S30:T30"/>
    <mergeCell ref="U30:W30"/>
    <mergeCell ref="X30:Z30"/>
    <mergeCell ref="AA30:AD30"/>
    <mergeCell ref="AH31:AM31"/>
    <mergeCell ref="F32:R32"/>
    <mergeCell ref="X32:Z32"/>
    <mergeCell ref="AA32:AD32"/>
    <mergeCell ref="AE32:AG32"/>
    <mergeCell ref="AH32:AM32"/>
    <mergeCell ref="AE30:AG30"/>
    <mergeCell ref="AH30:AM30"/>
    <mergeCell ref="B31:C31"/>
    <mergeCell ref="D31:E31"/>
    <mergeCell ref="F31:R3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ignoredErrors>
    <ignoredError sqref="AA32:AG34 AA48:AG49 V46:W46 AA46:AG46 U31:W31 AA31:AG31 U38:W38 U35:W35 AA35:AG35 U36:W36 AA36:AG36 U37:W37 AA37:AG37 AA42:AG44 U39:W39 AA39:AG39 AA38:AG38 V40:W40 AA40:AG40 V45:W45 AA45:AG45 V41:W41 AA41:AG41 U42:W44 U48:W49 U32:W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topLeftCell="I1" workbookViewId="0">
      <selection activeCell="I50" sqref="I50"/>
    </sheetView>
  </sheetViews>
  <sheetFormatPr defaultRowHeight="12.75" x14ac:dyDescent="0.2"/>
  <cols>
    <col min="1" max="8" width="0" hidden="1" customWidth="1"/>
    <col min="12" max="12" width="13" customWidth="1"/>
    <col min="14" max="14" width="11.140625" bestFit="1" customWidth="1"/>
    <col min="15" max="15" width="9.85546875" customWidth="1"/>
    <col min="16" max="16" width="10.42578125" customWidth="1"/>
  </cols>
  <sheetData>
    <row r="1" spans="1:19" ht="15.75" x14ac:dyDescent="0.25">
      <c r="A1" s="189"/>
      <c r="B1" s="189"/>
      <c r="C1" s="189"/>
      <c r="D1" s="189"/>
      <c r="E1" s="190" t="s">
        <v>131</v>
      </c>
      <c r="F1" s="190" t="s">
        <v>132</v>
      </c>
      <c r="G1" s="190" t="s">
        <v>133</v>
      </c>
      <c r="H1" s="189"/>
      <c r="I1" s="189"/>
      <c r="J1" s="189"/>
      <c r="K1" s="189"/>
      <c r="L1" s="189"/>
      <c r="M1" s="189"/>
      <c r="N1" s="191" t="s">
        <v>188</v>
      </c>
      <c r="O1" s="189"/>
      <c r="P1" s="189"/>
      <c r="Q1" s="141"/>
      <c r="R1" s="141"/>
      <c r="S1" s="189"/>
    </row>
    <row r="2" spans="1:19" x14ac:dyDescent="0.2">
      <c r="A2" s="189" t="s">
        <v>134</v>
      </c>
      <c r="B2" s="192" t="s">
        <v>135</v>
      </c>
      <c r="C2" s="189" t="str">
        <f t="shared" ref="C2:C49" si="0">CONCATENATE(A2,"-",B2)</f>
        <v>Construção e Reforma de Edifícios-AC</v>
      </c>
      <c r="D2" s="189"/>
      <c r="E2" s="193">
        <v>0.03</v>
      </c>
      <c r="F2" s="193">
        <v>0.04</v>
      </c>
      <c r="G2" s="193">
        <v>5.5E-2</v>
      </c>
      <c r="H2" s="189"/>
      <c r="I2" s="189"/>
      <c r="J2" s="189"/>
      <c r="K2" s="189"/>
      <c r="L2" s="189"/>
      <c r="M2" s="189"/>
      <c r="N2" s="189"/>
      <c r="O2" s="189"/>
      <c r="P2" s="189"/>
      <c r="Q2" s="141"/>
      <c r="R2" s="141"/>
      <c r="S2" s="189"/>
    </row>
    <row r="3" spans="1:19" x14ac:dyDescent="0.2">
      <c r="A3" s="189" t="str">
        <f>A2</f>
        <v>Construção e Reforma de Edifícios</v>
      </c>
      <c r="B3" s="192" t="s">
        <v>136</v>
      </c>
      <c r="C3" s="189" t="str">
        <f t="shared" si="0"/>
        <v>Construção e Reforma de Edifícios-SG</v>
      </c>
      <c r="D3" s="189"/>
      <c r="E3" s="193">
        <v>8.0000000000000002E-3</v>
      </c>
      <c r="F3" s="193">
        <v>8.0000000000000002E-3</v>
      </c>
      <c r="G3" s="193">
        <v>0.01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x14ac:dyDescent="0.2">
      <c r="A4" s="189" t="str">
        <f>A3</f>
        <v>Construção e Reforma de Edifícios</v>
      </c>
      <c r="B4" s="192" t="s">
        <v>137</v>
      </c>
      <c r="C4" s="189" t="str">
        <f t="shared" si="0"/>
        <v>Construção e Reforma de Edifícios-R</v>
      </c>
      <c r="D4" s="189"/>
      <c r="E4" s="193">
        <v>9.7000000000000003E-3</v>
      </c>
      <c r="F4" s="193">
        <v>1.2699999999999999E-2</v>
      </c>
      <c r="G4" s="193">
        <v>1.2699999999999999E-2</v>
      </c>
      <c r="H4" s="189"/>
      <c r="I4" s="559" t="s">
        <v>138</v>
      </c>
      <c r="J4" s="560"/>
      <c r="K4" s="559" t="s">
        <v>139</v>
      </c>
      <c r="L4" s="561"/>
      <c r="M4" s="561"/>
      <c r="N4" s="561"/>
      <c r="O4" s="561"/>
      <c r="P4" s="561"/>
      <c r="Q4" s="561"/>
      <c r="R4" s="560"/>
      <c r="S4" s="189"/>
    </row>
    <row r="5" spans="1:19" ht="19.5" x14ac:dyDescent="0.3">
      <c r="A5" s="189" t="str">
        <f>A4</f>
        <v>Construção e Reforma de Edifícios</v>
      </c>
      <c r="B5" s="192" t="s">
        <v>140</v>
      </c>
      <c r="C5" s="189" t="str">
        <f t="shared" si="0"/>
        <v>Construção e Reforma de Edifícios-DF</v>
      </c>
      <c r="D5" s="189"/>
      <c r="E5" s="193">
        <v>5.8999999999999999E-3</v>
      </c>
      <c r="F5" s="193">
        <v>1.23E-2</v>
      </c>
      <c r="G5" s="193">
        <v>1.3899999999999999E-2</v>
      </c>
      <c r="H5" s="189"/>
      <c r="I5" s="562">
        <f>[1]DADOS!A29</f>
        <v>0</v>
      </c>
      <c r="J5" s="563"/>
      <c r="K5" s="564" t="str">
        <f>[1]DADOS!A32</f>
        <v>PREFEITURA MUNICPAL DE PAPAGAIOS</v>
      </c>
      <c r="L5" s="565"/>
      <c r="M5" s="565"/>
      <c r="N5" s="565"/>
      <c r="O5" s="565"/>
      <c r="P5" s="565"/>
      <c r="Q5" s="565"/>
      <c r="R5" s="566"/>
      <c r="S5" s="194"/>
    </row>
    <row r="6" spans="1:19" x14ac:dyDescent="0.2">
      <c r="A6" s="189" t="str">
        <f>A5</f>
        <v>Construção e Reforma de Edifícios</v>
      </c>
      <c r="B6" s="192" t="s">
        <v>141</v>
      </c>
      <c r="C6" s="189" t="str">
        <f t="shared" si="0"/>
        <v>Construção e Reforma de Edifícios-L</v>
      </c>
      <c r="D6" s="189"/>
      <c r="E6" s="193">
        <v>6.1600000000000002E-2</v>
      </c>
      <c r="F6" s="193">
        <v>7.400000000000001E-2</v>
      </c>
      <c r="G6" s="193">
        <v>8.9600000000000013E-2</v>
      </c>
      <c r="H6" s="189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89"/>
    </row>
    <row r="7" spans="1:19" x14ac:dyDescent="0.2">
      <c r="A7" s="189" t="str">
        <f>A6</f>
        <v>Construção e Reforma de Edifícios</v>
      </c>
      <c r="B7" s="196" t="s">
        <v>142</v>
      </c>
      <c r="C7" s="189" t="str">
        <f t="shared" si="0"/>
        <v>Construção e Reforma de Edifícios-BDI PAD</v>
      </c>
      <c r="D7" s="189"/>
      <c r="E7" s="193">
        <v>0.2034</v>
      </c>
      <c r="F7" s="193">
        <v>0.22120000000000001</v>
      </c>
      <c r="G7" s="193">
        <v>0.25</v>
      </c>
      <c r="H7" s="189"/>
      <c r="I7" s="559" t="s">
        <v>143</v>
      </c>
      <c r="J7" s="561"/>
      <c r="K7" s="561"/>
      <c r="L7" s="561"/>
      <c r="M7" s="561"/>
      <c r="N7" s="561"/>
      <c r="O7" s="561"/>
      <c r="P7" s="561"/>
      <c r="Q7" s="561"/>
      <c r="R7" s="560"/>
      <c r="S7" s="189"/>
    </row>
    <row r="8" spans="1:19" x14ac:dyDescent="0.2">
      <c r="A8" s="189" t="s">
        <v>144</v>
      </c>
      <c r="B8" s="192" t="s">
        <v>135</v>
      </c>
      <c r="C8" s="189" t="str">
        <f t="shared" si="0"/>
        <v>Construção de Praças Urbanas, Rodovias, Ferrovias e recapeamento e pavimentação de vias urbanas-AC</v>
      </c>
      <c r="D8" s="189"/>
      <c r="E8" s="193">
        <v>3.7999999999999999E-2</v>
      </c>
      <c r="F8" s="193">
        <v>4.0099999999999997E-2</v>
      </c>
      <c r="G8" s="193">
        <v>4.6699999999999998E-2</v>
      </c>
      <c r="H8" s="189"/>
      <c r="I8" s="558" t="str">
        <f>[1]DADOS!P29</f>
        <v xml:space="preserve">PAVIMENTAÇÃO </v>
      </c>
      <c r="J8" s="558"/>
      <c r="K8" s="558"/>
      <c r="L8" s="558"/>
      <c r="M8" s="558"/>
      <c r="N8" s="558"/>
      <c r="O8" s="558"/>
      <c r="P8" s="558"/>
      <c r="Q8" s="558"/>
      <c r="R8" s="558"/>
      <c r="S8" s="189"/>
    </row>
    <row r="9" spans="1:19" x14ac:dyDescent="0.2">
      <c r="A9" s="189" t="s">
        <v>144</v>
      </c>
      <c r="B9" s="192" t="s">
        <v>136</v>
      </c>
      <c r="C9" s="189" t="str">
        <f t="shared" si="0"/>
        <v>Construção de Praças Urbanas, Rodovias, Ferrovias e recapeamento e pavimentação de vias urbanas-SG</v>
      </c>
      <c r="D9" s="189"/>
      <c r="E9" s="193">
        <v>3.2000000000000002E-3</v>
      </c>
      <c r="F9" s="193">
        <v>4.0000000000000001E-3</v>
      </c>
      <c r="G9" s="193">
        <v>7.4000000000000003E-3</v>
      </c>
      <c r="H9" s="189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89"/>
    </row>
    <row r="10" spans="1:19" x14ac:dyDescent="0.2">
      <c r="A10" s="189" t="s">
        <v>144</v>
      </c>
      <c r="B10" s="192" t="s">
        <v>137</v>
      </c>
      <c r="C10" s="189" t="str">
        <f t="shared" si="0"/>
        <v>Construção de Praças Urbanas, Rodovias, Ferrovias e recapeamento e pavimentação de vias urbanas-R</v>
      </c>
      <c r="D10" s="189"/>
      <c r="E10" s="193">
        <v>5.0000000000000001E-3</v>
      </c>
      <c r="F10" s="193">
        <v>5.6000000000000008E-3</v>
      </c>
      <c r="G10" s="193">
        <v>9.7000000000000003E-3</v>
      </c>
      <c r="H10" s="189"/>
      <c r="I10" s="559" t="s">
        <v>145</v>
      </c>
      <c r="J10" s="561"/>
      <c r="K10" s="561"/>
      <c r="L10" s="561"/>
      <c r="M10" s="561"/>
      <c r="N10" s="561"/>
      <c r="O10" s="561"/>
      <c r="P10" s="561"/>
      <c r="Q10" s="559" t="s">
        <v>146</v>
      </c>
      <c r="R10" s="560"/>
      <c r="S10" s="189"/>
    </row>
    <row r="11" spans="1:19" x14ac:dyDescent="0.2">
      <c r="A11" s="189" t="s">
        <v>144</v>
      </c>
      <c r="B11" s="192" t="s">
        <v>140</v>
      </c>
      <c r="C11" s="189" t="str">
        <f t="shared" si="0"/>
        <v>Construção de Praças Urbanas, Rodovias, Ferrovias e recapeamento e pavimentação de vias urbanas-DF</v>
      </c>
      <c r="D11" s="189"/>
      <c r="E11" s="193">
        <v>1.0200000000000001E-2</v>
      </c>
      <c r="F11" s="193">
        <v>1.11E-2</v>
      </c>
      <c r="G11" s="193">
        <v>1.21E-2</v>
      </c>
      <c r="H11" s="189"/>
      <c r="I11" s="567" t="s">
        <v>144</v>
      </c>
      <c r="J11" s="568"/>
      <c r="K11" s="568"/>
      <c r="L11" s="568"/>
      <c r="M11" s="568"/>
      <c r="N11" s="568"/>
      <c r="O11" s="568"/>
      <c r="P11" s="569"/>
      <c r="Q11" s="570" t="str">
        <f>[1]DADOS!$C$38</f>
        <v>Sim</v>
      </c>
      <c r="R11" s="571"/>
      <c r="S11" s="189"/>
    </row>
    <row r="12" spans="1:19" x14ac:dyDescent="0.2">
      <c r="A12" s="189" t="s">
        <v>144</v>
      </c>
      <c r="B12" s="192" t="s">
        <v>141</v>
      </c>
      <c r="C12" s="189" t="str">
        <f t="shared" si="0"/>
        <v>Construção de Praças Urbanas, Rodovias, Ferrovias e recapeamento e pavimentação de vias urbanas-L</v>
      </c>
      <c r="D12" s="189"/>
      <c r="E12" s="193">
        <v>6.6400000000000001E-2</v>
      </c>
      <c r="F12" s="193">
        <v>7.2999999999999995E-2</v>
      </c>
      <c r="G12" s="193">
        <v>8.6899999999999991E-2</v>
      </c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</row>
    <row r="13" spans="1:19" x14ac:dyDescent="0.2">
      <c r="A13" s="189" t="s">
        <v>144</v>
      </c>
      <c r="B13" s="196" t="s">
        <v>142</v>
      </c>
      <c r="C13" s="189" t="str">
        <f t="shared" si="0"/>
        <v>Construção de Praças Urbanas, Rodovias, Ferrovias e recapeamento e pavimentação de vias urbanas-BDI PAD</v>
      </c>
      <c r="D13" s="189"/>
      <c r="E13" s="193">
        <v>0.19600000000000001</v>
      </c>
      <c r="F13" s="193">
        <v>0.2097</v>
      </c>
      <c r="G13" s="193">
        <v>0.24230000000000002</v>
      </c>
      <c r="H13" s="189"/>
      <c r="I13" s="572" t="s">
        <v>147</v>
      </c>
      <c r="J13" s="572"/>
      <c r="K13" s="572"/>
      <c r="L13" s="572"/>
      <c r="M13" s="572"/>
      <c r="N13" s="572"/>
      <c r="O13" s="572"/>
      <c r="P13" s="572"/>
      <c r="Q13" s="573">
        <v>1</v>
      </c>
      <c r="R13" s="573"/>
      <c r="S13" s="189"/>
    </row>
    <row r="14" spans="1:19" x14ac:dyDescent="0.2">
      <c r="A14" s="189" t="s">
        <v>148</v>
      </c>
      <c r="B14" s="192" t="s">
        <v>135</v>
      </c>
      <c r="C14" s="189" t="str">
        <f t="shared" si="0"/>
        <v>Construção de Redes de Abastecimento de Água, Coleta de Esgoto-AC</v>
      </c>
      <c r="D14" s="189"/>
      <c r="E14" s="193">
        <v>3.4300000000000004E-2</v>
      </c>
      <c r="F14" s="193">
        <v>4.9299999999999997E-2</v>
      </c>
      <c r="G14" s="193">
        <v>6.7099999999999993E-2</v>
      </c>
      <c r="H14" s="189"/>
      <c r="I14" s="574" t="s">
        <v>149</v>
      </c>
      <c r="J14" s="574"/>
      <c r="K14" s="574"/>
      <c r="L14" s="574"/>
      <c r="M14" s="574"/>
      <c r="N14" s="574"/>
      <c r="O14" s="574"/>
      <c r="P14" s="574"/>
      <c r="Q14" s="573">
        <v>0.02</v>
      </c>
      <c r="R14" s="573"/>
      <c r="S14" s="189"/>
    </row>
    <row r="15" spans="1:19" x14ac:dyDescent="0.2">
      <c r="A15" s="189" t="str">
        <f>A14</f>
        <v>Construção de Redes de Abastecimento de Água, Coleta de Esgoto</v>
      </c>
      <c r="B15" s="192" t="s">
        <v>136</v>
      </c>
      <c r="C15" s="189" t="str">
        <f t="shared" si="0"/>
        <v>Construção de Redes de Abastecimento de Água, Coleta de Esgoto-SG</v>
      </c>
      <c r="D15" s="189"/>
      <c r="E15" s="193">
        <v>2.8000000000000004E-3</v>
      </c>
      <c r="F15" s="193">
        <v>4.8999999999999998E-3</v>
      </c>
      <c r="G15" s="193">
        <v>7.4999999999999997E-3</v>
      </c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</row>
    <row r="16" spans="1:19" x14ac:dyDescent="0.2">
      <c r="A16" s="189"/>
      <c r="B16" s="192"/>
      <c r="C16" s="189"/>
      <c r="D16" s="189"/>
      <c r="E16" s="193"/>
      <c r="F16" s="193"/>
      <c r="G16" s="193"/>
      <c r="H16" s="189"/>
      <c r="I16" s="575" t="s">
        <v>150</v>
      </c>
      <c r="J16" s="575"/>
      <c r="K16" s="575"/>
      <c r="L16" s="575"/>
      <c r="M16" s="575" t="s">
        <v>151</v>
      </c>
      <c r="N16" s="576" t="s">
        <v>152</v>
      </c>
      <c r="O16" s="576" t="s">
        <v>153</v>
      </c>
      <c r="P16" s="577" t="s">
        <v>154</v>
      </c>
      <c r="Q16" s="577" t="s">
        <v>155</v>
      </c>
      <c r="R16" s="578" t="s">
        <v>156</v>
      </c>
      <c r="S16" s="189"/>
    </row>
    <row r="17" spans="1:19" x14ac:dyDescent="0.2">
      <c r="A17" s="189" t="str">
        <f>A15</f>
        <v>Construção de Redes de Abastecimento de Água, Coleta de Esgoto</v>
      </c>
      <c r="B17" s="192" t="s">
        <v>137</v>
      </c>
      <c r="C17" s="189" t="str">
        <f t="shared" si="0"/>
        <v>Construção de Redes de Abastecimento de Água, Coleta de Esgoto-R</v>
      </c>
      <c r="D17" s="189"/>
      <c r="E17" s="193">
        <v>0.01</v>
      </c>
      <c r="F17" s="193">
        <v>1.3899999999999999E-2</v>
      </c>
      <c r="G17" s="193">
        <v>1.7399999999999999E-2</v>
      </c>
      <c r="H17" s="189"/>
      <c r="I17" s="575"/>
      <c r="J17" s="575"/>
      <c r="K17" s="575"/>
      <c r="L17" s="575"/>
      <c r="M17" s="575"/>
      <c r="N17" s="576"/>
      <c r="O17" s="576"/>
      <c r="P17" s="577"/>
      <c r="Q17" s="577"/>
      <c r="R17" s="578"/>
      <c r="S17" s="189"/>
    </row>
    <row r="18" spans="1:19" ht="15" x14ac:dyDescent="0.2">
      <c r="A18" s="189" t="str">
        <f>A17</f>
        <v>Construção de Redes de Abastecimento de Água, Coleta de Esgoto</v>
      </c>
      <c r="B18" s="192" t="s">
        <v>140</v>
      </c>
      <c r="C18" s="189" t="str">
        <f t="shared" si="0"/>
        <v>Construção de Redes de Abastecimento de Água, Coleta de Esgoto-DF</v>
      </c>
      <c r="D18" s="189"/>
      <c r="E18" s="193">
        <v>9.3999999999999986E-3</v>
      </c>
      <c r="F18" s="193">
        <v>9.8999999999999991E-3</v>
      </c>
      <c r="G18" s="193">
        <v>1.1699999999999999E-2</v>
      </c>
      <c r="H18" s="189"/>
      <c r="I18" s="580" t="str">
        <f>IF($I$11=$A$59,"Encargos Sociais incidentes sobre a mão de obra","Administração Central")</f>
        <v>Administração Central</v>
      </c>
      <c r="J18" s="580"/>
      <c r="K18" s="580"/>
      <c r="L18" s="580"/>
      <c r="M18" s="197" t="str">
        <f>IF($I$11=$A$59,"K1","AC")</f>
        <v>AC</v>
      </c>
      <c r="N18" s="198">
        <v>4.0099999999999997E-2</v>
      </c>
      <c r="O18" s="199" t="s">
        <v>157</v>
      </c>
      <c r="P18" s="200">
        <f>VLOOKUP(CONCATENATE(I$11,"-",M18),$C$2:$G$49,3,FALSE)</f>
        <v>3.7999999999999999E-2</v>
      </c>
      <c r="Q18" s="200">
        <f>VLOOKUP(CONCATENATE(I$11,"-",M18),$C$2:$G$49,4,FALSE)</f>
        <v>4.0099999999999997E-2</v>
      </c>
      <c r="R18" s="200">
        <f>VLOOKUP(CONCATENATE(I$11,"-",M18),$C$2:$G$49,5,FALSE)</f>
        <v>4.6699999999999998E-2</v>
      </c>
      <c r="S18" s="189"/>
    </row>
    <row r="19" spans="1:19" ht="15" x14ac:dyDescent="0.2">
      <c r="A19" s="189" t="str">
        <f>A18</f>
        <v>Construção de Redes de Abastecimento de Água, Coleta de Esgoto</v>
      </c>
      <c r="B19" s="192" t="s">
        <v>141</v>
      </c>
      <c r="C19" s="189" t="str">
        <f t="shared" si="0"/>
        <v>Construção de Redes de Abastecimento de Água, Coleta de Esgoto-L</v>
      </c>
      <c r="D19" s="189"/>
      <c r="E19" s="193">
        <v>6.7400000000000002E-2</v>
      </c>
      <c r="F19" s="193">
        <v>8.0399999999999985E-2</v>
      </c>
      <c r="G19" s="193">
        <v>9.4E-2</v>
      </c>
      <c r="H19" s="189"/>
      <c r="I19" s="580" t="str">
        <f>IF($I$11=$A$59,"Administração Central da empresa ou consultoria - overhead","Seguro e Garantia")</f>
        <v>Seguro e Garantia</v>
      </c>
      <c r="J19" s="580"/>
      <c r="K19" s="580"/>
      <c r="L19" s="580"/>
      <c r="M19" s="197" t="str">
        <f>IF($I$11=$A$59,"K2","SG")</f>
        <v>SG</v>
      </c>
      <c r="N19" s="198">
        <v>4.0000000000000001E-3</v>
      </c>
      <c r="O19" s="199" t="s">
        <v>157</v>
      </c>
      <c r="P19" s="200">
        <f>VLOOKUP(CONCATENATE(I$11,"-",M19),$C$2:$G$49,3,FALSE)</f>
        <v>3.2000000000000002E-3</v>
      </c>
      <c r="Q19" s="200">
        <f>VLOOKUP(CONCATENATE(I$11,"-",M19),$C$2:$G$49,4,FALSE)</f>
        <v>4.0000000000000001E-3</v>
      </c>
      <c r="R19" s="200">
        <f>VLOOKUP(CONCATENATE(I$11,"-",M19),$C$2:$G$49,5,FALSE)</f>
        <v>7.4000000000000003E-3</v>
      </c>
      <c r="S19" s="189"/>
    </row>
    <row r="20" spans="1:19" ht="15" x14ac:dyDescent="0.2">
      <c r="A20" s="189" t="str">
        <f>A19</f>
        <v>Construção de Redes de Abastecimento de Água, Coleta de Esgoto</v>
      </c>
      <c r="B20" s="196" t="s">
        <v>142</v>
      </c>
      <c r="C20" s="189" t="str">
        <f t="shared" si="0"/>
        <v>Construção de Redes de Abastecimento de Água, Coleta de Esgoto-BDI PAD</v>
      </c>
      <c r="D20" s="189"/>
      <c r="E20" s="193">
        <v>0.20760000000000001</v>
      </c>
      <c r="F20" s="193">
        <v>0.24179999999999999</v>
      </c>
      <c r="G20" s="193">
        <v>0.26440000000000002</v>
      </c>
      <c r="H20" s="189"/>
      <c r="I20" s="580" t="str">
        <f>IF($I$11=$A$59,"","Risco")</f>
        <v>Risco</v>
      </c>
      <c r="J20" s="580"/>
      <c r="K20" s="580"/>
      <c r="L20" s="580"/>
      <c r="M20" s="197" t="str">
        <f>IF($I$11=$A$59,"","R")</f>
        <v>R</v>
      </c>
      <c r="N20" s="198">
        <v>5.5999999999999999E-3</v>
      </c>
      <c r="O20" s="199" t="s">
        <v>157</v>
      </c>
      <c r="P20" s="200">
        <f>VLOOKUP(CONCATENATE(I$11,"-",M20),$C$2:$G$49,3,FALSE)</f>
        <v>5.0000000000000001E-3</v>
      </c>
      <c r="Q20" s="200">
        <f>VLOOKUP(CONCATENATE(I$11,"-",M20),$C$2:$G$49,4,FALSE)</f>
        <v>5.6000000000000008E-3</v>
      </c>
      <c r="R20" s="200">
        <f>VLOOKUP(CONCATENATE(I$11,"-",M20),$C$2:$G$49,5,FALSE)</f>
        <v>9.7000000000000003E-3</v>
      </c>
      <c r="S20" s="189"/>
    </row>
    <row r="21" spans="1:19" ht="15" x14ac:dyDescent="0.2">
      <c r="A21" s="189" t="s">
        <v>158</v>
      </c>
      <c r="B21" s="192" t="s">
        <v>135</v>
      </c>
      <c r="C21" s="189" t="str">
        <f t="shared" si="0"/>
        <v>Construção e Manutenção de Estações e Redes de Distribuição de Energia Elétrica-AC</v>
      </c>
      <c r="D21" s="189"/>
      <c r="E21" s="193">
        <v>5.2900000000000003E-2</v>
      </c>
      <c r="F21" s="193">
        <v>5.9200000000000003E-2</v>
      </c>
      <c r="G21" s="193">
        <v>7.9299999999999995E-2</v>
      </c>
      <c r="H21" s="189"/>
      <c r="I21" s="580" t="str">
        <f>IF($I$11=$A$59,"","Despesas Financeiras")</f>
        <v>Despesas Financeiras</v>
      </c>
      <c r="J21" s="580"/>
      <c r="K21" s="580"/>
      <c r="L21" s="580"/>
      <c r="M21" s="197" t="str">
        <f>IF($I$11=$A$59,"","DF")</f>
        <v>DF</v>
      </c>
      <c r="N21" s="198">
        <v>1.11E-2</v>
      </c>
      <c r="O21" s="199" t="s">
        <v>157</v>
      </c>
      <c r="P21" s="200">
        <f>VLOOKUP(CONCATENATE(I$11,"-",M21),$C$2:$G$49,3,FALSE)</f>
        <v>1.0200000000000001E-2</v>
      </c>
      <c r="Q21" s="200">
        <f>VLOOKUP(CONCATENATE(I$11,"-",M21),$C$2:$G$49,4,FALSE)</f>
        <v>1.11E-2</v>
      </c>
      <c r="R21" s="200">
        <f>VLOOKUP(CONCATENATE(I$11,"-",M21),$C$2:$G$49,5,FALSE)</f>
        <v>1.21E-2</v>
      </c>
      <c r="S21" s="189"/>
    </row>
    <row r="22" spans="1:19" ht="15" x14ac:dyDescent="0.2">
      <c r="A22" s="189" t="str">
        <f>A21</f>
        <v>Construção e Manutenção de Estações e Redes de Distribuição de Energia Elétrica</v>
      </c>
      <c r="B22" s="192" t="s">
        <v>136</v>
      </c>
      <c r="C22" s="189" t="str">
        <f t="shared" si="0"/>
        <v>Construção e Manutenção de Estações e Redes de Distribuição de Energia Elétrica-SG</v>
      </c>
      <c r="D22" s="189"/>
      <c r="E22" s="193">
        <v>2.5000000000000001E-3</v>
      </c>
      <c r="F22" s="193">
        <v>5.1000000000000004E-3</v>
      </c>
      <c r="G22" s="193">
        <v>5.6000000000000008E-3</v>
      </c>
      <c r="H22" s="189"/>
      <c r="I22" s="580" t="str">
        <f>IF($I$11=$A$59,"Margem bruta da empresa de consultoria","Lucro")</f>
        <v>Lucro</v>
      </c>
      <c r="J22" s="580"/>
      <c r="K22" s="580"/>
      <c r="L22" s="580"/>
      <c r="M22" s="197" t="str">
        <f>IF($I$11=$A$59,"K3","L")</f>
        <v>L</v>
      </c>
      <c r="N22" s="198">
        <v>7.2999999999999995E-2</v>
      </c>
      <c r="O22" s="199" t="s">
        <v>157</v>
      </c>
      <c r="P22" s="200">
        <f>VLOOKUP(CONCATENATE(I$11,"-",M22),$C$2:$G$49,3,FALSE)</f>
        <v>6.6400000000000001E-2</v>
      </c>
      <c r="Q22" s="200">
        <f>VLOOKUP(CONCATENATE(I$11,"-",M22),$C$2:$G$49,4,FALSE)</f>
        <v>7.2999999999999995E-2</v>
      </c>
      <c r="R22" s="200">
        <f>VLOOKUP(CONCATENATE(I$11,"-",M22),$C$2:$G$49,5,FALSE)</f>
        <v>8.6899999999999991E-2</v>
      </c>
      <c r="S22" s="189"/>
    </row>
    <row r="23" spans="1:19" ht="15" x14ac:dyDescent="0.2">
      <c r="A23" s="189" t="str">
        <f>A22</f>
        <v>Construção e Manutenção de Estações e Redes de Distribuição de Energia Elétrica</v>
      </c>
      <c r="B23" s="192" t="s">
        <v>137</v>
      </c>
      <c r="C23" s="189" t="str">
        <f t="shared" si="0"/>
        <v>Construção e Manutenção de Estações e Redes de Distribuição de Energia Elétrica-R</v>
      </c>
      <c r="D23" s="189"/>
      <c r="E23" s="193">
        <v>0.01</v>
      </c>
      <c r="F23" s="193">
        <v>1.4800000000000001E-2</v>
      </c>
      <c r="G23" s="193">
        <v>1.9699999999999999E-2</v>
      </c>
      <c r="H23" s="189"/>
      <c r="I23" s="581" t="s">
        <v>159</v>
      </c>
      <c r="J23" s="581"/>
      <c r="K23" s="581"/>
      <c r="L23" s="581"/>
      <c r="M23" s="197" t="s">
        <v>160</v>
      </c>
      <c r="N23" s="198">
        <v>3.6499999999999998E-2</v>
      </c>
      <c r="O23" s="199" t="s">
        <v>157</v>
      </c>
      <c r="P23" s="200">
        <v>3.6499999999999998E-2</v>
      </c>
      <c r="Q23" s="200">
        <v>3.6499999999999998E-2</v>
      </c>
      <c r="R23" s="200">
        <v>3.6499999999999998E-2</v>
      </c>
      <c r="S23" s="189"/>
    </row>
    <row r="24" spans="1:19" ht="31.5" customHeight="1" x14ac:dyDescent="0.2">
      <c r="A24" s="189" t="str">
        <f>A23</f>
        <v>Construção e Manutenção de Estações e Redes de Distribuição de Energia Elétrica</v>
      </c>
      <c r="B24" s="192" t="s">
        <v>140</v>
      </c>
      <c r="C24" s="189" t="str">
        <f t="shared" si="0"/>
        <v>Construção e Manutenção de Estações e Redes de Distribuição de Energia Elétrica-DF</v>
      </c>
      <c r="D24" s="189"/>
      <c r="E24" s="193">
        <v>1.01E-2</v>
      </c>
      <c r="F24" s="193">
        <v>1.0700000000000001E-2</v>
      </c>
      <c r="G24" s="193">
        <v>1.11E-2</v>
      </c>
      <c r="H24" s="189"/>
      <c r="I24" s="580" t="s">
        <v>161</v>
      </c>
      <c r="J24" s="580"/>
      <c r="K24" s="580"/>
      <c r="L24" s="580"/>
      <c r="M24" s="197" t="s">
        <v>162</v>
      </c>
      <c r="N24" s="200">
        <f>IF($I$11&lt;&gt;$A$58,Q14*Q13,0)</f>
        <v>0.02</v>
      </c>
      <c r="O24" s="199" t="s">
        <v>157</v>
      </c>
      <c r="P24" s="200">
        <v>0</v>
      </c>
      <c r="Q24" s="200">
        <v>2.5000000000000001E-2</v>
      </c>
      <c r="R24" s="200">
        <v>0.05</v>
      </c>
      <c r="S24" s="189"/>
    </row>
    <row r="25" spans="1:19" ht="26.25" customHeight="1" x14ac:dyDescent="0.2">
      <c r="A25" s="189" t="str">
        <f>A24</f>
        <v>Construção e Manutenção de Estações e Redes de Distribuição de Energia Elétrica</v>
      </c>
      <c r="B25" s="192" t="s">
        <v>141</v>
      </c>
      <c r="C25" s="189" t="str">
        <f t="shared" si="0"/>
        <v>Construção e Manutenção de Estações e Redes de Distribuição de Energia Elétrica-L</v>
      </c>
      <c r="D25" s="189"/>
      <c r="E25" s="193">
        <v>0.08</v>
      </c>
      <c r="F25" s="193">
        <v>8.3100000000000007E-2</v>
      </c>
      <c r="G25" s="193">
        <v>9.5100000000000004E-2</v>
      </c>
      <c r="H25" s="189"/>
      <c r="I25" s="580" t="s">
        <v>163</v>
      </c>
      <c r="J25" s="580"/>
      <c r="K25" s="580"/>
      <c r="L25" s="580"/>
      <c r="M25" s="197" t="s">
        <v>164</v>
      </c>
      <c r="N25" s="200">
        <f>IF(AND($I$11&lt;&gt;$A$58,Q11="Sim"),4.5%,0%)</f>
        <v>4.4999999999999998E-2</v>
      </c>
      <c r="O25" s="199" t="str">
        <f>IF(AND(N25&gt;=P25, N25&lt;=R25), "OK", "Não OK")</f>
        <v>OK</v>
      </c>
      <c r="P25" s="201">
        <v>0</v>
      </c>
      <c r="Q25" s="201">
        <v>4.4999999999999998E-2</v>
      </c>
      <c r="R25" s="201">
        <v>4.4999999999999998E-2</v>
      </c>
      <c r="S25" s="189"/>
    </row>
    <row r="26" spans="1:19" ht="28.5" x14ac:dyDescent="0.2">
      <c r="A26" s="189" t="str">
        <f>A25</f>
        <v>Construção e Manutenção de Estações e Redes de Distribuição de Energia Elétrica</v>
      </c>
      <c r="B26" s="196" t="s">
        <v>142</v>
      </c>
      <c r="C26" s="189" t="str">
        <f t="shared" si="0"/>
        <v>Construção e Manutenção de Estações e Redes de Distribuição de Energia Elétrica-BDI PAD</v>
      </c>
      <c r="D26" s="189"/>
      <c r="E26" s="193">
        <v>0.24</v>
      </c>
      <c r="F26" s="193">
        <v>0.25840000000000002</v>
      </c>
      <c r="G26" s="193">
        <v>0.27860000000000001</v>
      </c>
      <c r="H26" s="189"/>
      <c r="I26" s="580" t="s">
        <v>165</v>
      </c>
      <c r="J26" s="580"/>
      <c r="K26" s="580"/>
      <c r="L26" s="580"/>
      <c r="M26" s="202" t="s">
        <v>142</v>
      </c>
      <c r="N26" s="200">
        <f>IF($I$11=$A$58,0,ROUND((((1+N18+N19+N20)*(1+N21)*(1+N22)/(1-(N23+N24)))-1),4))</f>
        <v>0.20699999999999999</v>
      </c>
      <c r="O26" s="203" t="str">
        <f>IF(OR($I$11=$A$59,$I$11=$A$58,AND(N26&gt;=P26, N26&lt;=R26)), "OK", "FORA DO INTERVALO")</f>
        <v>OK</v>
      </c>
      <c r="P26" s="200">
        <f>IF($I$11=$A$58,0,VLOOKUP(CONCATENATE($I$11,"-",$M26),$C$2:$G$49,3,FALSE))</f>
        <v>0.19600000000000001</v>
      </c>
      <c r="Q26" s="200">
        <f>IF($I$11=$A$58,0,VLOOKUP(CONCATENATE($I$11,"-",$M26),$C$2:$G$49,4,FALSE))</f>
        <v>0.2097</v>
      </c>
      <c r="R26" s="200">
        <f>IF($I$11=$A$58,0,VLOOKUP(CONCATENATE($I$11,"-",$M26),$C$2:$G$49,5,FALSE))</f>
        <v>0.24230000000000002</v>
      </c>
      <c r="S26" s="189"/>
    </row>
    <row r="27" spans="1:19" ht="30" x14ac:dyDescent="0.2">
      <c r="A27" s="189" t="s">
        <v>166</v>
      </c>
      <c r="B27" s="192" t="s">
        <v>135</v>
      </c>
      <c r="C27" s="189" t="str">
        <f t="shared" si="0"/>
        <v>Obras Portuárias, Marítimas e Fluviais-AC</v>
      </c>
      <c r="D27" s="189"/>
      <c r="E27" s="193">
        <v>0.04</v>
      </c>
      <c r="F27" s="193">
        <v>5.5199999999999999E-2</v>
      </c>
      <c r="G27" s="193">
        <v>7.85E-2</v>
      </c>
      <c r="H27" s="189"/>
      <c r="I27" s="582" t="s">
        <v>167</v>
      </c>
      <c r="J27" s="582"/>
      <c r="K27" s="582"/>
      <c r="L27" s="582"/>
      <c r="M27" s="204" t="s">
        <v>168</v>
      </c>
      <c r="N27" s="205">
        <f>IF($I$11=$A$58,0,ROUND((((1+N18+N19+N20)*(1+N21)*(1+N22)/(1-(N23+N24+N25)))-1),4))</f>
        <v>0.26750000000000002</v>
      </c>
      <c r="O27" s="206" t="str">
        <f>IF(Q11&lt;&gt;"Sim","",O26)</f>
        <v>OK</v>
      </c>
      <c r="P27" s="583"/>
      <c r="Q27" s="583"/>
      <c r="R27" s="583"/>
      <c r="S27" s="189"/>
    </row>
    <row r="28" spans="1:19" x14ac:dyDescent="0.2">
      <c r="A28" s="189" t="str">
        <f>A27</f>
        <v>Obras Portuárias, Marítimas e Fluviais</v>
      </c>
      <c r="B28" s="192" t="s">
        <v>136</v>
      </c>
      <c r="C28" s="189" t="str">
        <f t="shared" si="0"/>
        <v>Obras Portuárias, Marítimas e Fluviais-SG</v>
      </c>
      <c r="D28" s="189"/>
      <c r="E28" s="193">
        <v>8.1000000000000013E-3</v>
      </c>
      <c r="F28" s="193">
        <v>1.2199999999999999E-2</v>
      </c>
      <c r="G28" s="193">
        <v>1.9900000000000001E-2</v>
      </c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</row>
    <row r="29" spans="1:19" ht="23.25" x14ac:dyDescent="0.2">
      <c r="A29" s="189" t="str">
        <f>A28</f>
        <v>Obras Portuárias, Marítimas e Fluviais</v>
      </c>
      <c r="B29" s="192" t="s">
        <v>137</v>
      </c>
      <c r="C29" s="189" t="str">
        <f t="shared" si="0"/>
        <v>Obras Portuárias, Marítimas e Fluviais-R</v>
      </c>
      <c r="D29" s="189"/>
      <c r="E29" s="193">
        <v>1.46E-2</v>
      </c>
      <c r="F29" s="193">
        <v>2.3199999999999998E-2</v>
      </c>
      <c r="G29" s="193">
        <v>3.1600000000000003E-2</v>
      </c>
      <c r="H29" s="189"/>
      <c r="I29" s="207" t="str">
        <f>IF(V29,"X","")</f>
        <v/>
      </c>
      <c r="J29" s="579" t="s">
        <v>169</v>
      </c>
      <c r="K29" s="579"/>
      <c r="L29" s="579"/>
      <c r="M29" s="579"/>
      <c r="N29" s="579"/>
      <c r="O29" s="579"/>
      <c r="P29" s="579"/>
      <c r="Q29" s="579"/>
      <c r="R29" s="579"/>
      <c r="S29" s="189"/>
    </row>
    <row r="30" spans="1:19" x14ac:dyDescent="0.2">
      <c r="A30" s="189"/>
      <c r="B30" s="192"/>
      <c r="C30" s="189"/>
      <c r="D30" s="189"/>
      <c r="E30" s="193"/>
      <c r="F30" s="193"/>
      <c r="G30" s="193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</row>
    <row r="31" spans="1:19" x14ac:dyDescent="0.2">
      <c r="A31" s="189"/>
      <c r="B31" s="192"/>
      <c r="C31" s="189"/>
      <c r="D31" s="189"/>
      <c r="E31" s="193"/>
      <c r="F31" s="193"/>
      <c r="G31" s="193"/>
      <c r="H31" s="189"/>
      <c r="I31" s="585" t="s">
        <v>170</v>
      </c>
      <c r="J31" s="585"/>
      <c r="K31" s="585"/>
      <c r="L31" s="585"/>
      <c r="M31" s="585"/>
      <c r="N31" s="585"/>
      <c r="O31" s="585"/>
      <c r="P31" s="585"/>
      <c r="Q31" s="585"/>
      <c r="R31" s="585"/>
      <c r="S31" s="189"/>
    </row>
    <row r="32" spans="1:19" ht="15.75" x14ac:dyDescent="0.25">
      <c r="A32" s="189" t="str">
        <f>A29</f>
        <v>Obras Portuárias, Marítimas e Fluviais</v>
      </c>
      <c r="B32" s="192" t="s">
        <v>140</v>
      </c>
      <c r="C32" s="189" t="str">
        <f t="shared" si="0"/>
        <v>Obras Portuárias, Marítimas e Fluviais-DF</v>
      </c>
      <c r="D32" s="189"/>
      <c r="E32" s="193">
        <v>9.3999999999999986E-3</v>
      </c>
      <c r="F32" s="193">
        <v>1.0200000000000001E-2</v>
      </c>
      <c r="G32" s="193">
        <v>1.3300000000000001E-2</v>
      </c>
      <c r="H32" s="189"/>
      <c r="I32" s="208"/>
      <c r="J32" s="208"/>
      <c r="K32" s="208"/>
      <c r="L32" s="586" t="str">
        <f>IF(Q11="Sim","BDI.DES =","BDI.PAD =")</f>
        <v>BDI.DES =</v>
      </c>
      <c r="M32" s="587" t="str">
        <f>IF($I$11=$A$59,"(1+K1+K2)*(1+K3)","(1+AC + S + R + G)*(1 + DF)*(1+L)")</f>
        <v>(1+AC + S + R + G)*(1 + DF)*(1+L)</v>
      </c>
      <c r="N32" s="587"/>
      <c r="O32" s="587"/>
      <c r="P32" s="588" t="s">
        <v>171</v>
      </c>
      <c r="Q32" s="208"/>
      <c r="R32" s="208"/>
      <c r="S32" s="189"/>
    </row>
    <row r="33" spans="1:19" ht="15.75" x14ac:dyDescent="0.2">
      <c r="A33" s="189" t="str">
        <f>A32</f>
        <v>Obras Portuárias, Marítimas e Fluviais</v>
      </c>
      <c r="B33" s="192" t="s">
        <v>141</v>
      </c>
      <c r="C33" s="189" t="str">
        <f t="shared" si="0"/>
        <v>Obras Portuárias, Marítimas e Fluviais-L</v>
      </c>
      <c r="D33" s="189"/>
      <c r="E33" s="193">
        <v>7.1399999999999991E-2</v>
      </c>
      <c r="F33" s="193">
        <v>8.4000000000000005E-2</v>
      </c>
      <c r="G33" s="193">
        <v>0.1043</v>
      </c>
      <c r="H33" s="189"/>
      <c r="I33" s="208"/>
      <c r="J33" s="208"/>
      <c r="K33" s="208"/>
      <c r="L33" s="586"/>
      <c r="M33" s="590" t="str">
        <f>IF(Q11="Sim","(1-CP-ISS-CRPB)","(1-CP-ISS)")</f>
        <v>(1-CP-ISS-CRPB)</v>
      </c>
      <c r="N33" s="590"/>
      <c r="O33" s="590"/>
      <c r="P33" s="589"/>
      <c r="Q33" s="208"/>
      <c r="R33" s="208"/>
      <c r="S33" s="189"/>
    </row>
    <row r="34" spans="1:19" x14ac:dyDescent="0.2">
      <c r="A34" s="189" t="str">
        <f>A33</f>
        <v>Obras Portuárias, Marítimas e Fluviais</v>
      </c>
      <c r="B34" s="196" t="s">
        <v>142</v>
      </c>
      <c r="C34" s="189" t="str">
        <f t="shared" si="0"/>
        <v>Obras Portuárias, Marítimas e Fluviais-BDI PAD</v>
      </c>
      <c r="D34" s="189"/>
      <c r="E34" s="193">
        <v>0.22800000000000001</v>
      </c>
      <c r="F34" s="193">
        <v>0.27479999999999999</v>
      </c>
      <c r="G34" s="193">
        <v>0.3095</v>
      </c>
      <c r="H34" s="18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189"/>
    </row>
    <row r="35" spans="1:19" ht="59.25" customHeight="1" x14ac:dyDescent="0.2">
      <c r="A35" s="189"/>
      <c r="B35" s="196"/>
      <c r="C35" s="189"/>
      <c r="D35" s="189"/>
      <c r="E35" s="193"/>
      <c r="F35" s="193"/>
      <c r="G35" s="193"/>
      <c r="H35" s="189"/>
      <c r="I35" s="591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de Praças Urbanas, Rodovias, Ferrovias e recapeamento e pavimentação de vias urbanas, é de 100%, com a respectiva alíquota de 2%.</v>
      </c>
      <c r="J35" s="591"/>
      <c r="K35" s="591"/>
      <c r="L35" s="591"/>
      <c r="M35" s="591"/>
      <c r="N35" s="591"/>
      <c r="O35" s="591"/>
      <c r="P35" s="591"/>
      <c r="Q35" s="591"/>
      <c r="R35" s="591"/>
      <c r="S35" s="189"/>
    </row>
    <row r="36" spans="1:19" x14ac:dyDescent="0.2">
      <c r="A36" s="189"/>
      <c r="B36" s="196"/>
      <c r="C36" s="189"/>
      <c r="D36" s="189"/>
      <c r="E36" s="193"/>
      <c r="F36" s="193"/>
      <c r="G36" s="193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</row>
    <row r="37" spans="1:19" ht="68.25" customHeight="1" x14ac:dyDescent="0.2">
      <c r="A37" s="189"/>
      <c r="B37" s="196"/>
      <c r="C37" s="189"/>
      <c r="D37" s="189"/>
      <c r="E37" s="193"/>
      <c r="F37" s="193"/>
      <c r="G37" s="193"/>
      <c r="H37" s="189"/>
      <c r="I37" s="591" t="str">
        <f>CONCATENATE("Declaro para os devidos fins que o regime de Contribuição Previdenciária sobre a Receita Bruta adotado para elaboração do orçamento foi ",IF(Q11="Sim","COM","SEM"),"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J37" s="591"/>
      <c r="K37" s="591"/>
      <c r="L37" s="591"/>
      <c r="M37" s="591"/>
      <c r="N37" s="591"/>
      <c r="O37" s="591"/>
      <c r="P37" s="591"/>
      <c r="Q37" s="591"/>
      <c r="R37" s="591"/>
      <c r="S37" s="189"/>
    </row>
    <row r="38" spans="1:19" x14ac:dyDescent="0.2">
      <c r="A38" s="189" t="s">
        <v>172</v>
      </c>
      <c r="B38" s="192" t="s">
        <v>135</v>
      </c>
      <c r="C38" s="189" t="str">
        <f t="shared" si="0"/>
        <v>Fornecimento de Materiais e Equipamentos (aquisição indireta - em conjunto com licitação de obras)-AC</v>
      </c>
      <c r="D38" s="189"/>
      <c r="E38" s="193">
        <v>1.4999999999999999E-2</v>
      </c>
      <c r="F38" s="193">
        <v>3.4500000000000003E-2</v>
      </c>
      <c r="G38" s="193">
        <v>4.4900000000000002E-2</v>
      </c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</row>
    <row r="39" spans="1:19" x14ac:dyDescent="0.2">
      <c r="A39" s="189" t="str">
        <f>A38</f>
        <v>Fornecimento de Materiais e Equipamentos (aquisição indireta - em conjunto com licitação de obras)</v>
      </c>
      <c r="B39" s="192" t="s">
        <v>136</v>
      </c>
      <c r="C39" s="189" t="str">
        <f t="shared" si="0"/>
        <v>Fornecimento de Materiais e Equipamentos (aquisição indireta - em conjunto com licitação de obras)-SG</v>
      </c>
      <c r="D39" s="189"/>
      <c r="E39" s="193">
        <v>3.0000000000000001E-3</v>
      </c>
      <c r="F39" s="193">
        <v>4.7999999999999996E-3</v>
      </c>
      <c r="G39" s="193">
        <v>8.199999999999999E-3</v>
      </c>
      <c r="H39" s="189"/>
      <c r="I39" s="189" t="s">
        <v>173</v>
      </c>
      <c r="J39" s="189"/>
      <c r="K39" s="189"/>
      <c r="L39" s="189"/>
      <c r="M39" s="189"/>
      <c r="N39" s="189"/>
      <c r="O39" s="189"/>
      <c r="P39" s="189"/>
      <c r="Q39" s="189"/>
      <c r="R39" s="189"/>
      <c r="S39" s="189"/>
    </row>
    <row r="40" spans="1:19" ht="52.5" customHeight="1" x14ac:dyDescent="0.2">
      <c r="A40" s="189" t="str">
        <f>A39</f>
        <v>Fornecimento de Materiais e Equipamentos (aquisição indireta - em conjunto com licitação de obras)</v>
      </c>
      <c r="B40" s="192" t="s">
        <v>137</v>
      </c>
      <c r="C40" s="189" t="str">
        <f t="shared" si="0"/>
        <v>Fornecimento de Materiais e Equipamentos (aquisição indireta - em conjunto com licitação de obras)-R</v>
      </c>
      <c r="D40" s="189"/>
      <c r="E40" s="193">
        <v>5.6000000000000008E-3</v>
      </c>
      <c r="F40" s="193">
        <v>8.5000000000000006E-3</v>
      </c>
      <c r="G40" s="193">
        <v>8.8999999999999999E-3</v>
      </c>
      <c r="H40" s="189"/>
      <c r="I40" s="592"/>
      <c r="J40" s="593"/>
      <c r="K40" s="593"/>
      <c r="L40" s="593"/>
      <c r="M40" s="593"/>
      <c r="N40" s="593"/>
      <c r="O40" s="593"/>
      <c r="P40" s="593"/>
      <c r="Q40" s="593"/>
      <c r="R40" s="594"/>
      <c r="S40" s="189"/>
    </row>
    <row r="41" spans="1:19" x14ac:dyDescent="0.2">
      <c r="A41" s="189" t="str">
        <f>A40</f>
        <v>Fornecimento de Materiais e Equipamentos (aquisição indireta - em conjunto com licitação de obras)</v>
      </c>
      <c r="B41" s="192" t="s">
        <v>140</v>
      </c>
      <c r="C41" s="189" t="str">
        <f t="shared" si="0"/>
        <v>Fornecimento de Materiais e Equipamentos (aquisição indireta - em conjunto com licitação de obras)-DF</v>
      </c>
      <c r="D41" s="189"/>
      <c r="E41" s="193">
        <v>8.5000000000000006E-3</v>
      </c>
      <c r="F41" s="193">
        <v>8.5000000000000006E-3</v>
      </c>
      <c r="G41" s="193">
        <v>1.11E-2</v>
      </c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</row>
    <row r="42" spans="1:19" x14ac:dyDescent="0.2">
      <c r="A42" s="189" t="str">
        <f>A41</f>
        <v>Fornecimento de Materiais e Equipamentos (aquisição indireta - em conjunto com licitação de obras)</v>
      </c>
      <c r="B42" s="192" t="s">
        <v>141</v>
      </c>
      <c r="C42" s="189" t="str">
        <f t="shared" si="0"/>
        <v>Fornecimento de Materiais e Equipamentos (aquisição indireta - em conjunto com licitação de obras)-L</v>
      </c>
      <c r="D42" s="189"/>
      <c r="E42" s="193">
        <v>3.5000000000000003E-2</v>
      </c>
      <c r="F42" s="193">
        <v>5.1100000000000007E-2</v>
      </c>
      <c r="G42" s="193">
        <v>6.2199999999999998E-2</v>
      </c>
      <c r="H42" s="189"/>
      <c r="I42" s="595" t="str">
        <f>[1]PO!K45</f>
        <v>PAPAGAIOS / MG</v>
      </c>
      <c r="J42" s="595"/>
      <c r="K42" s="595"/>
      <c r="L42" s="595"/>
      <c r="M42" s="189"/>
      <c r="N42" s="189"/>
      <c r="O42" s="596">
        <v>43985</v>
      </c>
      <c r="P42" s="596"/>
      <c r="Q42" s="596"/>
      <c r="R42" s="596"/>
      <c r="S42" s="189"/>
    </row>
    <row r="43" spans="1:19" x14ac:dyDescent="0.2">
      <c r="A43" s="189" t="str">
        <f>A42</f>
        <v>Fornecimento de Materiais e Equipamentos (aquisição indireta - em conjunto com licitação de obras)</v>
      </c>
      <c r="B43" s="196" t="s">
        <v>142</v>
      </c>
      <c r="C43" s="189" t="str">
        <f t="shared" si="0"/>
        <v>Fornecimento de Materiais e Equipamentos (aquisição indireta - em conjunto com licitação de obras)-BDI PAD</v>
      </c>
      <c r="D43" s="189"/>
      <c r="E43" s="193">
        <v>0.111</v>
      </c>
      <c r="F43" s="193">
        <v>0.14019999999999999</v>
      </c>
      <c r="G43" s="193">
        <v>0.16800000000000001</v>
      </c>
      <c r="H43" s="189"/>
      <c r="I43" s="597" t="s">
        <v>174</v>
      </c>
      <c r="J43" s="597"/>
      <c r="K43" s="597"/>
      <c r="L43" s="597"/>
      <c r="M43" s="189"/>
      <c r="N43" s="210"/>
      <c r="O43" s="211" t="s">
        <v>175</v>
      </c>
      <c r="P43" s="212"/>
      <c r="Q43" s="212"/>
      <c r="R43" s="212"/>
      <c r="S43" s="189"/>
    </row>
    <row r="44" spans="1:19" x14ac:dyDescent="0.2">
      <c r="A44" s="189" t="s">
        <v>176</v>
      </c>
      <c r="B44" s="192" t="s">
        <v>177</v>
      </c>
      <c r="C44" s="189" t="str">
        <f t="shared" si="0"/>
        <v>Estudos e Projetos, Planos e Gerenciamento e outros correlatos-K1</v>
      </c>
      <c r="D44" s="189"/>
      <c r="E44" s="193" t="s">
        <v>157</v>
      </c>
      <c r="F44" s="193" t="s">
        <v>157</v>
      </c>
      <c r="G44" s="193" t="s">
        <v>157</v>
      </c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</row>
    <row r="45" spans="1:19" ht="15" x14ac:dyDescent="0.2">
      <c r="A45" s="189" t="str">
        <f>A44</f>
        <v>Estudos e Projetos, Planos e Gerenciamento e outros correlatos</v>
      </c>
      <c r="B45" s="192" t="s">
        <v>178</v>
      </c>
      <c r="C45" s="189" t="str">
        <f t="shared" si="0"/>
        <v>Estudos e Projetos, Planos e Gerenciamento e outros correlatos-K2</v>
      </c>
      <c r="D45" s="189"/>
      <c r="E45" s="193" t="s">
        <v>157</v>
      </c>
      <c r="F45" s="193">
        <v>0.2</v>
      </c>
      <c r="G45" s="193" t="s">
        <v>157</v>
      </c>
      <c r="H45" s="189"/>
      <c r="I45" s="584"/>
      <c r="J45" s="584"/>
      <c r="K45" s="584"/>
      <c r="L45" s="584"/>
      <c r="M45" s="213"/>
      <c r="N45" s="213"/>
      <c r="O45" s="584"/>
      <c r="P45" s="584"/>
      <c r="Q45" s="584"/>
      <c r="R45" s="584"/>
      <c r="S45" s="189"/>
    </row>
    <row r="46" spans="1:19" x14ac:dyDescent="0.2">
      <c r="A46" s="189" t="str">
        <f>A45</f>
        <v>Estudos e Projetos, Planos e Gerenciamento e outros correlatos</v>
      </c>
      <c r="B46" s="192" t="s">
        <v>179</v>
      </c>
      <c r="C46" s="189" t="str">
        <f t="shared" si="0"/>
        <v>Estudos e Projetos, Planos e Gerenciamento e outros correlatos-</v>
      </c>
      <c r="D46" s="189"/>
      <c r="E46" s="193" t="s">
        <v>157</v>
      </c>
      <c r="F46" s="193" t="s">
        <v>157</v>
      </c>
      <c r="G46" s="193" t="s">
        <v>157</v>
      </c>
      <c r="H46" s="189"/>
      <c r="I46" s="599" t="s">
        <v>180</v>
      </c>
      <c r="J46" s="599"/>
      <c r="K46" s="599"/>
      <c r="L46" s="599"/>
      <c r="M46" s="214"/>
      <c r="N46" s="214"/>
      <c r="O46" s="599" t="s">
        <v>181</v>
      </c>
      <c r="P46" s="599"/>
      <c r="Q46" s="599"/>
      <c r="R46" s="599"/>
      <c r="S46" s="189"/>
    </row>
    <row r="47" spans="1:19" ht="14.25" x14ac:dyDescent="0.2">
      <c r="A47" s="189" t="str">
        <f>A46</f>
        <v>Estudos e Projetos, Planos e Gerenciamento e outros correlatos</v>
      </c>
      <c r="B47" s="192" t="s">
        <v>179</v>
      </c>
      <c r="C47" s="189" t="str">
        <f t="shared" si="0"/>
        <v>Estudos e Projetos, Planos e Gerenciamento e outros correlatos-</v>
      </c>
      <c r="D47" s="189"/>
      <c r="E47" s="193" t="s">
        <v>157</v>
      </c>
      <c r="F47" s="193" t="s">
        <v>157</v>
      </c>
      <c r="G47" s="193" t="s">
        <v>157</v>
      </c>
      <c r="H47" s="189"/>
      <c r="I47" s="215" t="s">
        <v>182</v>
      </c>
      <c r="J47" s="598" t="s">
        <v>233</v>
      </c>
      <c r="K47" s="598"/>
      <c r="L47" s="598"/>
      <c r="M47" s="216"/>
      <c r="N47" s="216"/>
      <c r="O47" s="215" t="s">
        <v>182</v>
      </c>
      <c r="P47" s="600" t="s">
        <v>183</v>
      </c>
      <c r="Q47" s="600"/>
      <c r="R47" s="600"/>
      <c r="S47" s="189"/>
    </row>
    <row r="48" spans="1:19" ht="14.25" x14ac:dyDescent="0.2">
      <c r="A48" s="189" t="str">
        <f>A47</f>
        <v>Estudos e Projetos, Planos e Gerenciamento e outros correlatos</v>
      </c>
      <c r="B48" s="192" t="s">
        <v>184</v>
      </c>
      <c r="C48" s="189" t="str">
        <f t="shared" si="0"/>
        <v>Estudos e Projetos, Planos e Gerenciamento e outros correlatos-K3</v>
      </c>
      <c r="D48" s="189"/>
      <c r="E48" s="193" t="s">
        <v>157</v>
      </c>
      <c r="F48" s="193">
        <v>0.12</v>
      </c>
      <c r="G48" s="193" t="s">
        <v>157</v>
      </c>
      <c r="H48" s="189"/>
      <c r="I48" s="215" t="s">
        <v>185</v>
      </c>
      <c r="J48" s="598" t="s">
        <v>234</v>
      </c>
      <c r="K48" s="598"/>
      <c r="L48" s="598"/>
      <c r="M48" s="216"/>
      <c r="N48" s="216"/>
      <c r="O48" s="215" t="s">
        <v>186</v>
      </c>
      <c r="P48" s="600" t="s">
        <v>187</v>
      </c>
      <c r="Q48" s="600"/>
      <c r="R48" s="600"/>
      <c r="S48" s="189"/>
    </row>
    <row r="49" spans="1:19" ht="14.25" x14ac:dyDescent="0.2">
      <c r="A49" s="189" t="str">
        <f>A48</f>
        <v>Estudos e Projetos, Planos e Gerenciamento e outros correlatos</v>
      </c>
      <c r="B49" s="196" t="s">
        <v>142</v>
      </c>
      <c r="C49" s="189" t="str">
        <f t="shared" si="0"/>
        <v>Estudos e Projetos, Planos e Gerenciamento e outros correlatos-BDI PAD</v>
      </c>
      <c r="D49" s="189"/>
      <c r="E49" s="193" t="s">
        <v>157</v>
      </c>
      <c r="F49" s="193" t="s">
        <v>157</v>
      </c>
      <c r="G49" s="193" t="s">
        <v>157</v>
      </c>
      <c r="H49" s="189"/>
      <c r="I49" s="215" t="str">
        <f>[1]DADOS!A56</f>
        <v>CREA/CAU:</v>
      </c>
      <c r="J49" s="598" t="s">
        <v>235</v>
      </c>
      <c r="K49" s="598"/>
      <c r="L49" s="598"/>
      <c r="M49" s="216"/>
      <c r="N49" s="216"/>
      <c r="O49" s="216"/>
      <c r="P49" s="216"/>
      <c r="Q49" s="216"/>
      <c r="R49" s="216"/>
      <c r="S49" s="189"/>
    </row>
    <row r="50" spans="1:19" x14ac:dyDescent="0.2">
      <c r="A50" s="189"/>
      <c r="B50" s="189"/>
      <c r="C50" s="189"/>
      <c r="D50" s="189"/>
      <c r="E50" s="189"/>
      <c r="F50" s="189"/>
      <c r="G50" s="189"/>
      <c r="H50" s="189"/>
      <c r="I50" s="215"/>
      <c r="J50" s="598"/>
      <c r="K50" s="598"/>
      <c r="L50" s="598"/>
      <c r="M50" s="189"/>
      <c r="N50" s="189"/>
      <c r="O50" s="189"/>
      <c r="P50" s="189"/>
      <c r="Q50" s="189"/>
      <c r="R50" s="189"/>
      <c r="S50" s="189"/>
    </row>
    <row r="51" spans="1:19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</row>
  </sheetData>
  <mergeCells count="54">
    <mergeCell ref="J49:L49"/>
    <mergeCell ref="J50:L50"/>
    <mergeCell ref="I46:L46"/>
    <mergeCell ref="O46:R46"/>
    <mergeCell ref="J47:L47"/>
    <mergeCell ref="P47:R47"/>
    <mergeCell ref="J48:L48"/>
    <mergeCell ref="P48:R48"/>
    <mergeCell ref="I45:L45"/>
    <mergeCell ref="O45:R45"/>
    <mergeCell ref="I31:R31"/>
    <mergeCell ref="L32:L33"/>
    <mergeCell ref="M32:O32"/>
    <mergeCell ref="P32:P33"/>
    <mergeCell ref="M33:O33"/>
    <mergeCell ref="I35:R35"/>
    <mergeCell ref="I37:R37"/>
    <mergeCell ref="I40:R40"/>
    <mergeCell ref="I42:L42"/>
    <mergeCell ref="O42:R42"/>
    <mergeCell ref="I43:L43"/>
    <mergeCell ref="J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P27:R27"/>
    <mergeCell ref="I14:P14"/>
    <mergeCell ref="Q14:R14"/>
    <mergeCell ref="I16:L17"/>
    <mergeCell ref="M16:M17"/>
    <mergeCell ref="N16:N17"/>
    <mergeCell ref="O16:O17"/>
    <mergeCell ref="P16:P17"/>
    <mergeCell ref="Q16:Q17"/>
    <mergeCell ref="R16:R17"/>
    <mergeCell ref="I10:P10"/>
    <mergeCell ref="Q10:R10"/>
    <mergeCell ref="I11:P11"/>
    <mergeCell ref="Q11:R11"/>
    <mergeCell ref="I13:P13"/>
    <mergeCell ref="Q13:R13"/>
    <mergeCell ref="I8:R8"/>
    <mergeCell ref="I4:J4"/>
    <mergeCell ref="K4:R4"/>
    <mergeCell ref="I5:J5"/>
    <mergeCell ref="K5:R5"/>
    <mergeCell ref="I7:R7"/>
  </mergeCells>
  <conditionalFormatting sqref="O42">
    <cfRule type="expression" dxfId="8" priority="3" stopIfTrue="1">
      <formula>$O$42=""</formula>
    </cfRule>
  </conditionalFormatting>
  <conditionalFormatting sqref="O18:O27">
    <cfRule type="expression" dxfId="7" priority="8" stopIfTrue="1">
      <formula>AND(O18&lt;&gt;"OK",O18&lt;&gt;"-",O18&lt;&gt;"")</formula>
    </cfRule>
    <cfRule type="cellIs" dxfId="6" priority="9" stopIfTrue="1" operator="equal">
      <formula>"OK"</formula>
    </cfRule>
  </conditionalFormatting>
  <conditionalFormatting sqref="I26:N26">
    <cfRule type="expression" dxfId="5" priority="7" stopIfTrue="1">
      <formula>$Q$11="Não"</formula>
    </cfRule>
  </conditionalFormatting>
  <conditionalFormatting sqref="I27:N27">
    <cfRule type="expression" dxfId="4" priority="6" stopIfTrue="1">
      <formula>$Q$11="sim"</formula>
    </cfRule>
  </conditionalFormatting>
  <conditionalFormatting sqref="P27:R27">
    <cfRule type="expression" dxfId="3" priority="5" stopIfTrue="1">
      <formula>$Q$11="sim"</formula>
    </cfRule>
  </conditionalFormatting>
  <conditionalFormatting sqref="P47:R48">
    <cfRule type="expression" dxfId="2" priority="4" stopIfTrue="1">
      <formula>P47=""</formula>
    </cfRule>
  </conditionalFormatting>
  <conditionalFormatting sqref="I29:R29">
    <cfRule type="expression" dxfId="1" priority="2" stopIfTrue="1">
      <formula>AND(NOT($V$27),NOT($V$29))</formula>
    </cfRule>
  </conditionalFormatting>
  <conditionalFormatting sqref="P18:R26">
    <cfRule type="expression" dxfId="0" priority="1" stopIfTrue="1">
      <formula>$I$11=$A$58</formula>
    </cfRule>
  </conditionalFormatting>
  <dataValidations count="6"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allowBlank="1" showInputMessage="1" showErrorMessage="1" errorTitle="Erro de valores" error="Digite um valor maior do que 0." sqref="N24">
      <formula1>0</formula1>
      <formula2>1</formula2>
    </dataValidation>
    <dataValidation operator="greaterThanOrEqual" allowBlank="1" showInputMessage="1" showErrorMessage="1" errorTitle="Erro de valores" error="Digite um valor igual a 0% ou 2%." sqref="N25"/>
    <dataValidation type="list" allowBlank="1" showInputMessage="1" showErrorMessage="1" sqref="I11:P11">
      <formula1>$A$52:$A$59</formula1>
    </dataValidation>
  </dataValidations>
  <pageMargins left="0.511811024" right="0.511811024" top="0.78740157499999996" bottom="0.78740157499999996" header="0.31496062000000002" footer="0.31496062000000002"/>
  <pageSetup paperSize="9" scale="84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38"/>
  <sheetViews>
    <sheetView zoomScaleNormal="100" workbookViewId="0">
      <selection activeCell="G18" sqref="G18"/>
    </sheetView>
  </sheetViews>
  <sheetFormatPr defaultRowHeight="12.75" x14ac:dyDescent="0.2"/>
  <cols>
    <col min="1" max="1" width="6.85546875" bestFit="1" customWidth="1"/>
    <col min="2" max="2" width="70" customWidth="1"/>
    <col min="3" max="3" width="27.7109375" customWidth="1"/>
    <col min="4" max="4" width="10.42578125" style="141" customWidth="1"/>
    <col min="5" max="5" width="17.85546875" customWidth="1"/>
    <col min="6" max="6" width="18.42578125" customWidth="1"/>
    <col min="7" max="7" width="20.140625" customWidth="1"/>
    <col min="8" max="8" width="24.28515625" customWidth="1"/>
    <col min="9" max="10" width="21.42578125" customWidth="1"/>
    <col min="11" max="11" width="24.28515625" customWidth="1"/>
    <col min="12" max="12" width="21.85546875" customWidth="1"/>
    <col min="13" max="13" width="20.7109375" customWidth="1"/>
    <col min="14" max="15" width="16.42578125" customWidth="1"/>
    <col min="16" max="16" width="19.42578125" customWidth="1"/>
    <col min="17" max="17" width="16.42578125" customWidth="1"/>
    <col min="18" max="18" width="22" customWidth="1"/>
    <col min="19" max="22" width="11.42578125" style="134" bestFit="1" customWidth="1"/>
    <col min="23" max="531" width="9.140625" style="134"/>
    <col min="532" max="619" width="9.140625" style="140"/>
  </cols>
  <sheetData>
    <row r="1" spans="1:619" s="2" customFormat="1" ht="15" x14ac:dyDescent="0.2">
      <c r="A1" s="603" t="s">
        <v>104</v>
      </c>
      <c r="B1" s="603"/>
      <c r="C1" s="603"/>
      <c r="D1" s="603"/>
      <c r="E1" s="603"/>
      <c r="F1" s="603"/>
      <c r="G1" s="603"/>
      <c r="H1" s="603"/>
      <c r="I1" s="603"/>
      <c r="J1" s="603"/>
      <c r="K1" s="314"/>
      <c r="L1" s="314"/>
      <c r="M1" s="314"/>
      <c r="N1" s="314"/>
      <c r="O1" s="290"/>
      <c r="P1" s="137"/>
      <c r="Q1" s="290"/>
      <c r="R1" s="295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9"/>
      <c r="TM1" s="139"/>
      <c r="TN1" s="139"/>
      <c r="TO1" s="139"/>
      <c r="TP1" s="139"/>
      <c r="TQ1" s="139"/>
      <c r="TR1" s="139"/>
      <c r="TS1" s="139"/>
      <c r="TT1" s="139"/>
      <c r="TU1" s="139"/>
      <c r="TV1" s="139"/>
      <c r="TW1" s="139"/>
      <c r="TX1" s="139"/>
      <c r="TY1" s="139"/>
      <c r="TZ1" s="139"/>
      <c r="UA1" s="139"/>
      <c r="UB1" s="139"/>
      <c r="UC1" s="139"/>
      <c r="UD1" s="139"/>
      <c r="UE1" s="139"/>
      <c r="UF1" s="139"/>
      <c r="UG1" s="139"/>
      <c r="UH1" s="139"/>
      <c r="UI1" s="139"/>
      <c r="UJ1" s="139"/>
      <c r="UK1" s="139"/>
      <c r="UL1" s="139"/>
      <c r="UM1" s="139"/>
      <c r="UN1" s="139"/>
      <c r="UO1" s="139"/>
      <c r="UP1" s="139"/>
      <c r="UQ1" s="139"/>
      <c r="UR1" s="139"/>
      <c r="US1" s="139"/>
      <c r="UT1" s="139"/>
      <c r="UU1" s="139"/>
      <c r="UV1" s="139"/>
      <c r="UW1" s="139"/>
      <c r="UX1" s="139"/>
      <c r="UY1" s="139"/>
      <c r="UZ1" s="139"/>
      <c r="VA1" s="139"/>
      <c r="VB1" s="139"/>
      <c r="VC1" s="139"/>
      <c r="VD1" s="139"/>
      <c r="VE1" s="139"/>
      <c r="VF1" s="139"/>
      <c r="VG1" s="139"/>
      <c r="VH1" s="139"/>
      <c r="VI1" s="139"/>
      <c r="VJ1" s="139"/>
      <c r="VK1" s="139"/>
      <c r="VL1" s="139"/>
      <c r="VM1" s="139"/>
      <c r="VN1" s="139"/>
      <c r="VO1" s="139"/>
      <c r="VP1" s="139"/>
      <c r="VQ1" s="139"/>
      <c r="VR1" s="139"/>
      <c r="VS1" s="139"/>
      <c r="VT1" s="139"/>
      <c r="VU1" s="139"/>
      <c r="VV1" s="139"/>
      <c r="VW1" s="139"/>
      <c r="VX1" s="139"/>
      <c r="VY1" s="139"/>
      <c r="VZ1" s="139"/>
      <c r="WA1" s="139"/>
      <c r="WB1" s="139"/>
      <c r="WC1" s="139"/>
      <c r="WD1" s="139"/>
      <c r="WE1" s="139"/>
      <c r="WF1" s="139"/>
      <c r="WG1" s="139"/>
      <c r="WH1" s="139"/>
      <c r="WI1" s="139"/>
      <c r="WJ1" s="139"/>
      <c r="WK1" s="139"/>
      <c r="WL1" s="139"/>
      <c r="WM1" s="139"/>
      <c r="WN1" s="139"/>
      <c r="WO1" s="139"/>
      <c r="WP1" s="139"/>
      <c r="WQ1" s="139"/>
      <c r="WR1" s="139"/>
      <c r="WS1" s="139"/>
      <c r="WT1" s="139"/>
      <c r="WU1" s="139"/>
    </row>
    <row r="2" spans="1:619" s="2" customFormat="1" ht="8.1" customHeight="1" x14ac:dyDescent="0.2">
      <c r="A2" s="138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98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9"/>
      <c r="TM2" s="139"/>
      <c r="TN2" s="139"/>
      <c r="TO2" s="139"/>
      <c r="TP2" s="139"/>
      <c r="TQ2" s="139"/>
      <c r="TR2" s="139"/>
      <c r="TS2" s="139"/>
      <c r="TT2" s="139"/>
      <c r="TU2" s="139"/>
      <c r="TV2" s="139"/>
      <c r="TW2" s="139"/>
      <c r="TX2" s="139"/>
      <c r="TY2" s="139"/>
      <c r="TZ2" s="139"/>
      <c r="UA2" s="139"/>
      <c r="UB2" s="139"/>
      <c r="UC2" s="139"/>
      <c r="UD2" s="139"/>
      <c r="UE2" s="139"/>
      <c r="UF2" s="139"/>
      <c r="UG2" s="139"/>
      <c r="UH2" s="139"/>
      <c r="UI2" s="139"/>
      <c r="UJ2" s="139"/>
      <c r="UK2" s="139"/>
      <c r="UL2" s="139"/>
      <c r="UM2" s="139"/>
      <c r="UN2" s="139"/>
      <c r="UO2" s="139"/>
      <c r="UP2" s="139"/>
      <c r="UQ2" s="139"/>
      <c r="UR2" s="139"/>
      <c r="US2" s="139"/>
      <c r="UT2" s="139"/>
      <c r="UU2" s="139"/>
      <c r="UV2" s="139"/>
      <c r="UW2" s="139"/>
      <c r="UX2" s="139"/>
      <c r="UY2" s="139"/>
      <c r="UZ2" s="139"/>
      <c r="VA2" s="139"/>
      <c r="VB2" s="139"/>
      <c r="VC2" s="139"/>
      <c r="VD2" s="139"/>
      <c r="VE2" s="139"/>
      <c r="VF2" s="139"/>
      <c r="VG2" s="139"/>
      <c r="VH2" s="139"/>
      <c r="VI2" s="139"/>
      <c r="VJ2" s="139"/>
      <c r="VK2" s="139"/>
      <c r="VL2" s="139"/>
      <c r="VM2" s="139"/>
      <c r="VN2" s="139"/>
      <c r="VO2" s="139"/>
      <c r="VP2" s="139"/>
      <c r="VQ2" s="139"/>
      <c r="VR2" s="139"/>
      <c r="VS2" s="139"/>
      <c r="VT2" s="139"/>
      <c r="VU2" s="139"/>
      <c r="VV2" s="139"/>
      <c r="VW2" s="139"/>
      <c r="VX2" s="139"/>
      <c r="VY2" s="139"/>
      <c r="VZ2" s="139"/>
      <c r="WA2" s="139"/>
      <c r="WB2" s="139"/>
      <c r="WC2" s="139"/>
      <c r="WD2" s="139"/>
      <c r="WE2" s="139"/>
      <c r="WF2" s="139"/>
      <c r="WG2" s="139"/>
      <c r="WH2" s="139"/>
      <c r="WI2" s="139"/>
      <c r="WJ2" s="139"/>
      <c r="WK2" s="139"/>
      <c r="WL2" s="139"/>
      <c r="WM2" s="139"/>
      <c r="WN2" s="139"/>
      <c r="WO2" s="139"/>
      <c r="WP2" s="139"/>
      <c r="WQ2" s="139"/>
      <c r="WR2" s="139"/>
      <c r="WS2" s="139"/>
      <c r="WT2" s="139"/>
      <c r="WU2" s="139"/>
    </row>
    <row r="3" spans="1:619" s="2" customFormat="1" ht="25.5" customHeight="1" x14ac:dyDescent="0.2">
      <c r="A3" s="7"/>
      <c r="B3" s="606" t="s">
        <v>101</v>
      </c>
      <c r="C3" s="606"/>
      <c r="D3" s="606"/>
      <c r="E3" s="606"/>
      <c r="F3" s="606"/>
      <c r="G3" s="291"/>
      <c r="H3" s="8"/>
      <c r="I3" s="8"/>
      <c r="J3" s="8"/>
      <c r="K3" s="8"/>
      <c r="L3" s="8"/>
      <c r="M3" s="8"/>
      <c r="N3" s="8" t="s">
        <v>197</v>
      </c>
      <c r="O3" s="8"/>
      <c r="P3" s="8"/>
      <c r="Q3" s="8"/>
      <c r="R3" s="299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9"/>
      <c r="TM3" s="139"/>
      <c r="TN3" s="139"/>
      <c r="TO3" s="139"/>
      <c r="TP3" s="139"/>
      <c r="TQ3" s="139"/>
      <c r="TR3" s="139"/>
      <c r="TS3" s="139"/>
      <c r="TT3" s="139"/>
      <c r="TU3" s="139"/>
      <c r="TV3" s="139"/>
      <c r="TW3" s="139"/>
      <c r="TX3" s="139"/>
      <c r="TY3" s="139"/>
      <c r="TZ3" s="139"/>
      <c r="UA3" s="139"/>
      <c r="UB3" s="139"/>
      <c r="UC3" s="139"/>
      <c r="UD3" s="139"/>
      <c r="UE3" s="139"/>
      <c r="UF3" s="139"/>
      <c r="UG3" s="139"/>
      <c r="UH3" s="139"/>
      <c r="UI3" s="139"/>
      <c r="UJ3" s="139"/>
      <c r="UK3" s="139"/>
      <c r="UL3" s="139"/>
      <c r="UM3" s="139"/>
      <c r="UN3" s="139"/>
      <c r="UO3" s="139"/>
      <c r="UP3" s="139"/>
      <c r="UQ3" s="139"/>
      <c r="UR3" s="139"/>
      <c r="US3" s="139"/>
      <c r="UT3" s="139"/>
      <c r="UU3" s="139"/>
      <c r="UV3" s="139"/>
      <c r="UW3" s="139"/>
      <c r="UX3" s="139"/>
      <c r="UY3" s="139"/>
      <c r="UZ3" s="139"/>
      <c r="VA3" s="139"/>
      <c r="VB3" s="139"/>
      <c r="VC3" s="139"/>
      <c r="VD3" s="139"/>
      <c r="VE3" s="139"/>
      <c r="VF3" s="139"/>
      <c r="VG3" s="139"/>
      <c r="VH3" s="139"/>
      <c r="VI3" s="139"/>
      <c r="VJ3" s="139"/>
      <c r="VK3" s="139"/>
      <c r="VL3" s="139"/>
      <c r="VM3" s="139"/>
      <c r="VN3" s="139"/>
      <c r="VO3" s="139"/>
      <c r="VP3" s="139"/>
      <c r="VQ3" s="139"/>
      <c r="VR3" s="139"/>
      <c r="VS3" s="139"/>
      <c r="VT3" s="139"/>
      <c r="VU3" s="139"/>
      <c r="VV3" s="139"/>
      <c r="VW3" s="139"/>
      <c r="VX3" s="139"/>
      <c r="VY3" s="139"/>
      <c r="VZ3" s="139"/>
      <c r="WA3" s="139"/>
      <c r="WB3" s="139"/>
      <c r="WC3" s="139"/>
      <c r="WD3" s="139"/>
      <c r="WE3" s="139"/>
      <c r="WF3" s="139"/>
      <c r="WG3" s="139"/>
      <c r="WH3" s="139"/>
      <c r="WI3" s="139"/>
      <c r="WJ3" s="139"/>
      <c r="WK3" s="139"/>
      <c r="WL3" s="139"/>
      <c r="WM3" s="139"/>
      <c r="WN3" s="139"/>
      <c r="WO3" s="139"/>
      <c r="WP3" s="139"/>
      <c r="WQ3" s="139"/>
      <c r="WR3" s="139"/>
      <c r="WS3" s="139"/>
      <c r="WT3" s="139"/>
      <c r="WU3" s="139"/>
    </row>
    <row r="4" spans="1:619" s="2" customFormat="1" ht="8.1" customHeight="1" x14ac:dyDescent="0.2">
      <c r="A4" s="7"/>
      <c r="B4" s="6"/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299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9"/>
      <c r="TM4" s="139"/>
      <c r="TN4" s="139"/>
      <c r="TO4" s="139"/>
      <c r="TP4" s="139"/>
      <c r="TQ4" s="139"/>
      <c r="TR4" s="139"/>
      <c r="TS4" s="139"/>
      <c r="TT4" s="139"/>
      <c r="TU4" s="139"/>
      <c r="TV4" s="139"/>
      <c r="TW4" s="139"/>
      <c r="TX4" s="139"/>
      <c r="TY4" s="139"/>
      <c r="TZ4" s="139"/>
      <c r="UA4" s="139"/>
      <c r="UB4" s="139"/>
      <c r="UC4" s="139"/>
      <c r="UD4" s="139"/>
      <c r="UE4" s="139"/>
      <c r="UF4" s="139"/>
      <c r="UG4" s="139"/>
      <c r="UH4" s="139"/>
      <c r="UI4" s="139"/>
      <c r="UJ4" s="139"/>
      <c r="UK4" s="139"/>
      <c r="UL4" s="139"/>
      <c r="UM4" s="139"/>
      <c r="UN4" s="139"/>
      <c r="UO4" s="139"/>
      <c r="UP4" s="139"/>
      <c r="UQ4" s="139"/>
      <c r="UR4" s="139"/>
      <c r="US4" s="139"/>
      <c r="UT4" s="139"/>
      <c r="UU4" s="139"/>
      <c r="UV4" s="139"/>
      <c r="UW4" s="139"/>
      <c r="UX4" s="139"/>
      <c r="UY4" s="139"/>
      <c r="UZ4" s="139"/>
      <c r="VA4" s="139"/>
      <c r="VB4" s="139"/>
      <c r="VC4" s="139"/>
      <c r="VD4" s="139"/>
      <c r="VE4" s="139"/>
      <c r="VF4" s="139"/>
      <c r="VG4" s="139"/>
      <c r="VH4" s="139"/>
      <c r="VI4" s="139"/>
      <c r="VJ4" s="139"/>
      <c r="VK4" s="139"/>
      <c r="VL4" s="139"/>
      <c r="VM4" s="139"/>
      <c r="VN4" s="139"/>
      <c r="VO4" s="139"/>
      <c r="VP4" s="139"/>
      <c r="VQ4" s="139"/>
      <c r="VR4" s="139"/>
      <c r="VS4" s="139"/>
      <c r="VT4" s="139"/>
      <c r="VU4" s="139"/>
      <c r="VV4" s="139"/>
      <c r="VW4" s="139"/>
      <c r="VX4" s="139"/>
      <c r="VY4" s="139"/>
      <c r="VZ4" s="139"/>
      <c r="WA4" s="139"/>
      <c r="WB4" s="139"/>
      <c r="WC4" s="139"/>
      <c r="WD4" s="139"/>
      <c r="WE4" s="139"/>
      <c r="WF4" s="139"/>
      <c r="WG4" s="139"/>
      <c r="WH4" s="139"/>
      <c r="WI4" s="139"/>
      <c r="WJ4" s="139"/>
      <c r="WK4" s="139"/>
      <c r="WL4" s="139"/>
      <c r="WM4" s="139"/>
      <c r="WN4" s="139"/>
      <c r="WO4" s="139"/>
      <c r="WP4" s="139"/>
      <c r="WQ4" s="139"/>
      <c r="WR4" s="139"/>
      <c r="WS4" s="139"/>
      <c r="WT4" s="139"/>
      <c r="WU4" s="139"/>
    </row>
    <row r="5" spans="1:619" s="2" customFormat="1" x14ac:dyDescent="0.2">
      <c r="A5" s="7"/>
      <c r="B5" s="13" t="s">
        <v>128</v>
      </c>
      <c r="C5" s="6"/>
      <c r="D5" s="6"/>
      <c r="E5" s="6"/>
      <c r="F5" s="6"/>
      <c r="G5" s="6"/>
      <c r="H5" s="8"/>
      <c r="I5" s="8"/>
      <c r="J5" s="8"/>
      <c r="K5" s="8"/>
      <c r="L5" s="8"/>
      <c r="M5" s="8"/>
      <c r="N5" s="8"/>
      <c r="O5" s="8"/>
      <c r="P5" s="8"/>
      <c r="Q5" s="8"/>
      <c r="R5" s="299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9"/>
      <c r="TM5" s="139"/>
      <c r="TN5" s="139"/>
      <c r="TO5" s="139"/>
      <c r="TP5" s="139"/>
      <c r="TQ5" s="139"/>
      <c r="TR5" s="139"/>
      <c r="TS5" s="139"/>
      <c r="TT5" s="139"/>
      <c r="TU5" s="139"/>
      <c r="TV5" s="139"/>
      <c r="TW5" s="139"/>
      <c r="TX5" s="139"/>
      <c r="TY5" s="139"/>
      <c r="TZ5" s="139"/>
      <c r="UA5" s="139"/>
      <c r="UB5" s="139"/>
      <c r="UC5" s="139"/>
      <c r="UD5" s="139"/>
      <c r="UE5" s="139"/>
      <c r="UF5" s="139"/>
      <c r="UG5" s="139"/>
      <c r="UH5" s="139"/>
      <c r="UI5" s="139"/>
      <c r="UJ5" s="139"/>
      <c r="UK5" s="139"/>
      <c r="UL5" s="139"/>
      <c r="UM5" s="139"/>
      <c r="UN5" s="139"/>
      <c r="UO5" s="139"/>
      <c r="UP5" s="139"/>
      <c r="UQ5" s="139"/>
      <c r="UR5" s="139"/>
      <c r="US5" s="139"/>
      <c r="UT5" s="139"/>
      <c r="UU5" s="139"/>
      <c r="UV5" s="139"/>
      <c r="UW5" s="139"/>
      <c r="UX5" s="139"/>
      <c r="UY5" s="139"/>
      <c r="UZ5" s="139"/>
      <c r="VA5" s="139"/>
      <c r="VB5" s="139"/>
      <c r="VC5" s="139"/>
      <c r="VD5" s="139"/>
      <c r="VE5" s="139"/>
      <c r="VF5" s="139"/>
      <c r="VG5" s="139"/>
      <c r="VH5" s="139"/>
      <c r="VI5" s="139"/>
      <c r="VJ5" s="139"/>
      <c r="VK5" s="139"/>
      <c r="VL5" s="139"/>
      <c r="VM5" s="139"/>
      <c r="VN5" s="139"/>
      <c r="VO5" s="139"/>
      <c r="VP5" s="139"/>
      <c r="VQ5" s="139"/>
      <c r="VR5" s="139"/>
      <c r="VS5" s="139"/>
      <c r="VT5" s="139"/>
      <c r="VU5" s="139"/>
      <c r="VV5" s="139"/>
      <c r="VW5" s="139"/>
      <c r="VX5" s="139"/>
      <c r="VY5" s="139"/>
      <c r="VZ5" s="139"/>
      <c r="WA5" s="139"/>
      <c r="WB5" s="139"/>
      <c r="WC5" s="139"/>
      <c r="WD5" s="139"/>
      <c r="WE5" s="139"/>
      <c r="WF5" s="139"/>
      <c r="WG5" s="139"/>
      <c r="WH5" s="139"/>
      <c r="WI5" s="139"/>
      <c r="WJ5" s="139"/>
      <c r="WK5" s="139"/>
      <c r="WL5" s="139"/>
      <c r="WM5" s="139"/>
      <c r="WN5" s="139"/>
      <c r="WO5" s="139"/>
      <c r="WP5" s="139"/>
      <c r="WQ5" s="139"/>
      <c r="WR5" s="139"/>
      <c r="WS5" s="139"/>
      <c r="WT5" s="139"/>
      <c r="WU5" s="139"/>
    </row>
    <row r="6" spans="1:619" s="2" customFormat="1" ht="8.1" customHeight="1" thickBot="1" x14ac:dyDescent="0.25">
      <c r="A6" s="11"/>
      <c r="B6" s="5"/>
      <c r="C6" s="5"/>
      <c r="D6" s="5"/>
      <c r="E6" s="5"/>
      <c r="F6" s="5"/>
      <c r="G6" s="5"/>
      <c r="H6" s="14"/>
      <c r="I6" s="5"/>
      <c r="J6" s="5"/>
      <c r="K6" s="5"/>
      <c r="L6" s="5"/>
      <c r="M6" s="5"/>
      <c r="N6" s="5"/>
      <c r="O6" s="5"/>
      <c r="P6" s="5"/>
      <c r="Q6" s="5"/>
      <c r="R6" s="302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9"/>
      <c r="TM6" s="139"/>
      <c r="TN6" s="139"/>
      <c r="TO6" s="139"/>
      <c r="TP6" s="139"/>
      <c r="TQ6" s="139"/>
      <c r="TR6" s="139"/>
      <c r="TS6" s="139"/>
      <c r="TT6" s="139"/>
      <c r="TU6" s="139"/>
      <c r="TV6" s="139"/>
      <c r="TW6" s="139"/>
      <c r="TX6" s="139"/>
      <c r="TY6" s="139"/>
      <c r="TZ6" s="139"/>
      <c r="UA6" s="139"/>
      <c r="UB6" s="139"/>
      <c r="UC6" s="139"/>
      <c r="UD6" s="139"/>
      <c r="UE6" s="139"/>
      <c r="UF6" s="139"/>
      <c r="UG6" s="139"/>
      <c r="UH6" s="139"/>
      <c r="UI6" s="139"/>
      <c r="UJ6" s="139"/>
      <c r="UK6" s="139"/>
      <c r="UL6" s="139"/>
      <c r="UM6" s="139"/>
      <c r="UN6" s="139"/>
      <c r="UO6" s="139"/>
      <c r="UP6" s="139"/>
      <c r="UQ6" s="139"/>
      <c r="UR6" s="139"/>
      <c r="US6" s="139"/>
      <c r="UT6" s="139"/>
      <c r="UU6" s="139"/>
      <c r="UV6" s="139"/>
      <c r="UW6" s="139"/>
      <c r="UX6" s="139"/>
      <c r="UY6" s="139"/>
      <c r="UZ6" s="139"/>
      <c r="VA6" s="139"/>
      <c r="VB6" s="139"/>
      <c r="VC6" s="139"/>
      <c r="VD6" s="139"/>
      <c r="VE6" s="139"/>
      <c r="VF6" s="139"/>
      <c r="VG6" s="139"/>
      <c r="VH6" s="139"/>
      <c r="VI6" s="139"/>
      <c r="VJ6" s="139"/>
      <c r="VK6" s="139"/>
      <c r="VL6" s="139"/>
      <c r="VM6" s="139"/>
      <c r="VN6" s="139"/>
      <c r="VO6" s="139"/>
      <c r="VP6" s="139"/>
      <c r="VQ6" s="139"/>
      <c r="VR6" s="139"/>
      <c r="VS6" s="139"/>
      <c r="VT6" s="139"/>
      <c r="VU6" s="139"/>
      <c r="VV6" s="139"/>
      <c r="VW6" s="139"/>
      <c r="VX6" s="139"/>
      <c r="VY6" s="139"/>
      <c r="VZ6" s="139"/>
      <c r="WA6" s="139"/>
      <c r="WB6" s="139"/>
      <c r="WC6" s="139"/>
      <c r="WD6" s="139"/>
      <c r="WE6" s="139"/>
      <c r="WF6" s="139"/>
      <c r="WG6" s="139"/>
      <c r="WH6" s="139"/>
      <c r="WI6" s="139"/>
      <c r="WJ6" s="139"/>
      <c r="WK6" s="139"/>
      <c r="WL6" s="139"/>
      <c r="WM6" s="139"/>
      <c r="WN6" s="139"/>
      <c r="WO6" s="139"/>
      <c r="WP6" s="139"/>
      <c r="WQ6" s="139"/>
      <c r="WR6" s="139"/>
      <c r="WS6" s="139"/>
      <c r="WT6" s="139"/>
      <c r="WU6" s="139"/>
    </row>
    <row r="7" spans="1:619" s="2" customFormat="1" ht="13.5" customHeight="1" thickBot="1" x14ac:dyDescent="0.25">
      <c r="A7" s="604" t="s">
        <v>4</v>
      </c>
      <c r="B7" s="605"/>
      <c r="C7" s="605"/>
      <c r="D7" s="605"/>
      <c r="E7" s="605"/>
      <c r="F7" s="605"/>
      <c r="G7" s="605"/>
      <c r="H7" s="605"/>
      <c r="I7" s="605"/>
      <c r="J7" s="605"/>
      <c r="K7" s="315"/>
      <c r="L7" s="315"/>
      <c r="M7" s="315"/>
      <c r="N7" s="315"/>
      <c r="O7" s="292"/>
      <c r="P7" s="177"/>
      <c r="Q7" s="292"/>
      <c r="R7" s="307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</row>
    <row r="8" spans="1:619" s="2" customFormat="1" ht="8.1" customHeight="1" x14ac:dyDescent="0.2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42"/>
      <c r="O8" s="18"/>
      <c r="P8" s="136"/>
      <c r="Q8" s="176"/>
      <c r="R8" s="306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9"/>
      <c r="TM8" s="139"/>
      <c r="TN8" s="139"/>
      <c r="TO8" s="139"/>
      <c r="TP8" s="139"/>
      <c r="TQ8" s="139"/>
      <c r="TR8" s="139"/>
      <c r="TS8" s="139"/>
      <c r="TT8" s="139"/>
      <c r="TU8" s="139"/>
      <c r="TV8" s="139"/>
      <c r="TW8" s="139"/>
      <c r="TX8" s="139"/>
      <c r="TY8" s="139"/>
      <c r="TZ8" s="139"/>
      <c r="UA8" s="139"/>
      <c r="UB8" s="139"/>
      <c r="UC8" s="139"/>
      <c r="UD8" s="139"/>
      <c r="UE8" s="139"/>
      <c r="UF8" s="139"/>
      <c r="UG8" s="139"/>
      <c r="UH8" s="139"/>
      <c r="UI8" s="139"/>
      <c r="UJ8" s="139"/>
      <c r="UK8" s="139"/>
      <c r="UL8" s="139"/>
      <c r="UM8" s="139"/>
      <c r="UN8" s="139"/>
      <c r="UO8" s="139"/>
      <c r="UP8" s="139"/>
      <c r="UQ8" s="139"/>
      <c r="UR8" s="139"/>
      <c r="US8" s="139"/>
      <c r="UT8" s="139"/>
      <c r="UU8" s="139"/>
      <c r="UV8" s="139"/>
      <c r="UW8" s="139"/>
      <c r="UX8" s="139"/>
      <c r="UY8" s="139"/>
      <c r="UZ8" s="139"/>
      <c r="VA8" s="139"/>
      <c r="VB8" s="139"/>
      <c r="VC8" s="139"/>
      <c r="VD8" s="139"/>
      <c r="VE8" s="139"/>
      <c r="VF8" s="139"/>
      <c r="VG8" s="139"/>
      <c r="VH8" s="139"/>
      <c r="VI8" s="139"/>
      <c r="VJ8" s="139"/>
      <c r="VK8" s="139"/>
      <c r="VL8" s="139"/>
      <c r="VM8" s="139"/>
      <c r="VN8" s="139"/>
      <c r="VO8" s="139"/>
      <c r="VP8" s="139"/>
      <c r="VQ8" s="139"/>
      <c r="VR8" s="139"/>
      <c r="VS8" s="139"/>
      <c r="VT8" s="139"/>
      <c r="VU8" s="139"/>
      <c r="VV8" s="139"/>
      <c r="VW8" s="139"/>
      <c r="VX8" s="139"/>
      <c r="VY8" s="139"/>
      <c r="VZ8" s="139"/>
      <c r="WA8" s="139"/>
      <c r="WB8" s="139"/>
      <c r="WC8" s="139"/>
      <c r="WD8" s="139"/>
      <c r="WE8" s="139"/>
      <c r="WF8" s="139"/>
      <c r="WG8" s="139"/>
      <c r="WH8" s="139"/>
      <c r="WI8" s="139"/>
      <c r="WJ8" s="139"/>
      <c r="WK8" s="139"/>
      <c r="WL8" s="139"/>
      <c r="WM8" s="139"/>
      <c r="WN8" s="139"/>
      <c r="WO8" s="139"/>
      <c r="WP8" s="139"/>
      <c r="WQ8" s="139"/>
      <c r="WR8" s="139"/>
      <c r="WS8" s="139"/>
      <c r="WT8" s="139"/>
      <c r="WU8" s="139"/>
    </row>
    <row r="9" spans="1:619" s="2" customFormat="1" ht="75" customHeight="1" x14ac:dyDescent="0.2">
      <c r="A9" s="19" t="s">
        <v>0</v>
      </c>
      <c r="B9" s="143" t="s">
        <v>7</v>
      </c>
      <c r="C9" s="143" t="s">
        <v>9</v>
      </c>
      <c r="D9" s="143" t="s">
        <v>194</v>
      </c>
      <c r="E9" s="143" t="s">
        <v>108</v>
      </c>
      <c r="F9" s="143" t="s">
        <v>109</v>
      </c>
      <c r="G9" s="143" t="s">
        <v>198</v>
      </c>
      <c r="H9" s="143" t="s">
        <v>199</v>
      </c>
      <c r="I9" s="143" t="s">
        <v>110</v>
      </c>
      <c r="J9" s="143" t="s">
        <v>111</v>
      </c>
      <c r="K9" s="143" t="s">
        <v>112</v>
      </c>
      <c r="L9" s="143" t="s">
        <v>113</v>
      </c>
      <c r="M9" s="143" t="s">
        <v>114</v>
      </c>
      <c r="N9" s="143" t="s">
        <v>115</v>
      </c>
      <c r="O9" s="143" t="s">
        <v>116</v>
      </c>
      <c r="P9" s="143" t="s">
        <v>118</v>
      </c>
      <c r="Q9" s="296" t="s">
        <v>196</v>
      </c>
      <c r="R9" s="273" t="s">
        <v>120</v>
      </c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9"/>
      <c r="TM9" s="139"/>
      <c r="TN9" s="139"/>
      <c r="TO9" s="139"/>
      <c r="TP9" s="139"/>
      <c r="TQ9" s="139"/>
      <c r="TR9" s="139"/>
      <c r="TS9" s="139"/>
      <c r="TT9" s="139"/>
      <c r="TU9" s="139"/>
      <c r="TV9" s="139"/>
      <c r="TW9" s="139"/>
      <c r="TX9" s="139"/>
      <c r="TY9" s="139"/>
      <c r="TZ9" s="139"/>
      <c r="UA9" s="139"/>
      <c r="UB9" s="139"/>
      <c r="UC9" s="139"/>
      <c r="UD9" s="139"/>
      <c r="UE9" s="139"/>
      <c r="UF9" s="139"/>
      <c r="UG9" s="139"/>
      <c r="UH9" s="139"/>
      <c r="UI9" s="139"/>
      <c r="UJ9" s="139"/>
      <c r="UK9" s="139"/>
      <c r="UL9" s="139"/>
      <c r="UM9" s="139"/>
      <c r="UN9" s="139"/>
      <c r="UO9" s="139"/>
      <c r="UP9" s="139"/>
      <c r="UQ9" s="139"/>
      <c r="UR9" s="139"/>
      <c r="US9" s="139"/>
      <c r="UT9" s="139"/>
      <c r="UU9" s="139"/>
      <c r="UV9" s="139"/>
      <c r="UW9" s="139"/>
      <c r="UX9" s="139"/>
      <c r="UY9" s="139"/>
      <c r="UZ9" s="139"/>
      <c r="VA9" s="139"/>
      <c r="VB9" s="139"/>
      <c r="VC9" s="139"/>
      <c r="VD9" s="139"/>
      <c r="VE9" s="139"/>
      <c r="VF9" s="139"/>
      <c r="VG9" s="139"/>
      <c r="VH9" s="139"/>
      <c r="VI9" s="139"/>
      <c r="VJ9" s="139"/>
      <c r="VK9" s="139"/>
      <c r="VL9" s="139"/>
      <c r="VM9" s="139"/>
      <c r="VN9" s="139"/>
      <c r="VO9" s="139"/>
      <c r="VP9" s="139"/>
      <c r="VQ9" s="139"/>
      <c r="VR9" s="139"/>
      <c r="VS9" s="139"/>
      <c r="VT9" s="139"/>
      <c r="VU9" s="139"/>
      <c r="VV9" s="139"/>
      <c r="VW9" s="139"/>
      <c r="VX9" s="139"/>
      <c r="VY9" s="139"/>
      <c r="VZ9" s="139"/>
      <c r="WA9" s="139"/>
      <c r="WB9" s="139"/>
      <c r="WC9" s="139"/>
      <c r="WD9" s="139"/>
      <c r="WE9" s="139"/>
      <c r="WF9" s="139"/>
      <c r="WG9" s="139"/>
      <c r="WH9" s="139"/>
      <c r="WI9" s="139"/>
      <c r="WJ9" s="139"/>
      <c r="WK9" s="139"/>
      <c r="WL9" s="139"/>
      <c r="WM9" s="139"/>
      <c r="WN9" s="139"/>
      <c r="WO9" s="139"/>
      <c r="WP9" s="139"/>
      <c r="WQ9" s="139"/>
      <c r="WR9" s="139"/>
      <c r="WS9" s="139"/>
      <c r="WT9" s="139"/>
      <c r="WU9" s="139"/>
    </row>
    <row r="10" spans="1:619" s="2" customFormat="1" ht="12.75" customHeight="1" x14ac:dyDescent="0.2">
      <c r="A10" s="21">
        <v>1</v>
      </c>
      <c r="B10" s="143" t="s">
        <v>24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03"/>
      <c r="M10" s="103"/>
      <c r="N10" s="132"/>
      <c r="O10" s="135"/>
      <c r="P10" s="143"/>
      <c r="Q10" s="135"/>
      <c r="R10" s="303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9"/>
      <c r="TM10" s="139"/>
      <c r="TN10" s="139"/>
      <c r="TO10" s="139"/>
      <c r="TP10" s="139"/>
      <c r="TQ10" s="139"/>
      <c r="TR10" s="139"/>
      <c r="TS10" s="139"/>
      <c r="TT10" s="139"/>
      <c r="TU10" s="139"/>
      <c r="TV10" s="139"/>
      <c r="TW10" s="139"/>
      <c r="TX10" s="139"/>
      <c r="TY10" s="139"/>
      <c r="TZ10" s="139"/>
      <c r="UA10" s="139"/>
      <c r="UB10" s="139"/>
      <c r="UC10" s="139"/>
      <c r="UD10" s="139"/>
      <c r="UE10" s="139"/>
      <c r="UF10" s="139"/>
      <c r="UG10" s="139"/>
      <c r="UH10" s="139"/>
      <c r="UI10" s="139"/>
      <c r="UJ10" s="139"/>
      <c r="UK10" s="139"/>
      <c r="UL10" s="139"/>
      <c r="UM10" s="139"/>
      <c r="UN10" s="139"/>
      <c r="UO10" s="139"/>
      <c r="UP10" s="139"/>
      <c r="UQ10" s="139"/>
      <c r="UR10" s="139"/>
      <c r="US10" s="139"/>
      <c r="UT10" s="139"/>
      <c r="UU10" s="139"/>
      <c r="UV10" s="139"/>
      <c r="UW10" s="139"/>
      <c r="UX10" s="139"/>
      <c r="UY10" s="139"/>
      <c r="UZ10" s="139"/>
      <c r="VA10" s="139"/>
      <c r="VB10" s="139"/>
      <c r="VC10" s="139"/>
      <c r="VD10" s="139"/>
      <c r="VE10" s="139"/>
      <c r="VF10" s="139"/>
      <c r="VG10" s="139"/>
      <c r="VH10" s="139"/>
      <c r="VI10" s="139"/>
      <c r="VJ10" s="139"/>
      <c r="VK10" s="139"/>
      <c r="VL10" s="139"/>
      <c r="VM10" s="139"/>
      <c r="VN10" s="139"/>
      <c r="VO10" s="139"/>
      <c r="VP10" s="139"/>
      <c r="VQ10" s="139"/>
      <c r="VR10" s="139"/>
      <c r="VS10" s="139"/>
      <c r="VT10" s="139"/>
      <c r="VU10" s="139"/>
      <c r="VV10" s="139"/>
      <c r="VW10" s="139"/>
      <c r="VX10" s="139"/>
      <c r="VY10" s="139"/>
      <c r="VZ10" s="139"/>
      <c r="WA10" s="139"/>
      <c r="WB10" s="139"/>
      <c r="WC10" s="139"/>
      <c r="WD10" s="139"/>
      <c r="WE10" s="139"/>
      <c r="WF10" s="139"/>
      <c r="WG10" s="139"/>
      <c r="WH10" s="139"/>
      <c r="WI10" s="139"/>
      <c r="WJ10" s="139"/>
      <c r="WK10" s="139"/>
      <c r="WL10" s="139"/>
      <c r="WM10" s="139"/>
      <c r="WN10" s="139"/>
      <c r="WO10" s="139"/>
      <c r="WP10" s="139"/>
      <c r="WQ10" s="139"/>
      <c r="WR10" s="139"/>
      <c r="WS10" s="139"/>
      <c r="WT10" s="139"/>
      <c r="WU10" s="139"/>
    </row>
    <row r="11" spans="1:619" s="142" customFormat="1" ht="12.75" customHeight="1" x14ac:dyDescent="0.25">
      <c r="A11" s="148"/>
      <c r="B11" s="174" t="s">
        <v>129</v>
      </c>
      <c r="C11" s="151"/>
      <c r="D11" s="151"/>
      <c r="E11" s="149"/>
      <c r="F11" s="149"/>
      <c r="G11" s="149"/>
      <c r="H11" s="149"/>
      <c r="I11" s="149"/>
      <c r="J11" s="149"/>
      <c r="K11" s="149"/>
      <c r="L11" s="150"/>
      <c r="M11" s="150"/>
      <c r="N11" s="150"/>
      <c r="O11" s="158"/>
      <c r="P11" s="149"/>
      <c r="Q11" s="275"/>
      <c r="R11" s="273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  <c r="IW11" s="156"/>
      <c r="IX11" s="156"/>
      <c r="IY11" s="156"/>
      <c r="IZ11" s="156"/>
      <c r="JA11" s="156"/>
      <c r="JB11" s="156"/>
      <c r="JC11" s="156"/>
      <c r="JD11" s="156"/>
      <c r="JE11" s="156"/>
      <c r="JF11" s="156"/>
      <c r="JG11" s="156"/>
      <c r="JH11" s="156"/>
      <c r="JI11" s="156"/>
      <c r="JJ11" s="156"/>
      <c r="JK11" s="156"/>
      <c r="JL11" s="156"/>
      <c r="JM11" s="156"/>
      <c r="JN11" s="156"/>
      <c r="JO11" s="156"/>
      <c r="JP11" s="156"/>
      <c r="JQ11" s="156"/>
      <c r="JR11" s="156"/>
      <c r="JS11" s="156"/>
      <c r="JT11" s="156"/>
      <c r="JU11" s="156"/>
      <c r="JV11" s="156"/>
      <c r="JW11" s="156"/>
      <c r="JX11" s="156"/>
      <c r="JY11" s="156"/>
      <c r="JZ11" s="156"/>
      <c r="KA11" s="156"/>
      <c r="KB11" s="156"/>
      <c r="KC11" s="156"/>
      <c r="KD11" s="156"/>
      <c r="KE11" s="156"/>
      <c r="KF11" s="156"/>
      <c r="KG11" s="156"/>
      <c r="KH11" s="156"/>
      <c r="KI11" s="156"/>
      <c r="KJ11" s="156"/>
      <c r="KK11" s="156"/>
      <c r="KL11" s="156"/>
      <c r="KM11" s="156"/>
      <c r="KN11" s="156"/>
      <c r="KO11" s="156"/>
      <c r="KP11" s="156"/>
      <c r="KQ11" s="156"/>
      <c r="KR11" s="156"/>
      <c r="KS11" s="156"/>
      <c r="KT11" s="156"/>
      <c r="KU11" s="156"/>
      <c r="KV11" s="156"/>
      <c r="KW11" s="156"/>
      <c r="KX11" s="156"/>
      <c r="KY11" s="156"/>
      <c r="KZ11" s="156"/>
      <c r="LA11" s="156"/>
      <c r="LB11" s="156"/>
      <c r="LC11" s="156"/>
      <c r="LD11" s="156"/>
      <c r="LE11" s="156"/>
      <c r="LF11" s="156"/>
      <c r="LG11" s="156"/>
      <c r="LH11" s="156"/>
      <c r="LI11" s="156"/>
      <c r="LJ11" s="156"/>
      <c r="LK11" s="156"/>
      <c r="LL11" s="156"/>
      <c r="LM11" s="156"/>
      <c r="LN11" s="156"/>
      <c r="LO11" s="156"/>
      <c r="LP11" s="156"/>
      <c r="LQ11" s="156"/>
      <c r="LR11" s="156"/>
      <c r="LS11" s="156"/>
      <c r="LT11" s="156"/>
      <c r="LU11" s="156"/>
      <c r="LV11" s="156"/>
      <c r="LW11" s="156"/>
      <c r="LX11" s="156"/>
      <c r="LY11" s="156"/>
      <c r="LZ11" s="156"/>
      <c r="MA11" s="156"/>
      <c r="MB11" s="156"/>
      <c r="MC11" s="156"/>
      <c r="MD11" s="156"/>
      <c r="ME11" s="156"/>
      <c r="MF11" s="156"/>
      <c r="MG11" s="156"/>
      <c r="MH11" s="156"/>
      <c r="MI11" s="156"/>
      <c r="MJ11" s="156"/>
      <c r="MK11" s="156"/>
      <c r="ML11" s="156"/>
      <c r="MM11" s="156"/>
      <c r="MN11" s="156"/>
      <c r="MO11" s="156"/>
      <c r="MP11" s="156"/>
      <c r="MQ11" s="156"/>
      <c r="MR11" s="156"/>
      <c r="MS11" s="156"/>
      <c r="MT11" s="156"/>
      <c r="MU11" s="156"/>
      <c r="MV11" s="156"/>
      <c r="MW11" s="156"/>
      <c r="MX11" s="156"/>
      <c r="MY11" s="156"/>
      <c r="MZ11" s="156"/>
      <c r="NA11" s="156"/>
      <c r="NB11" s="156"/>
      <c r="NC11" s="156"/>
      <c r="ND11" s="156"/>
      <c r="NE11" s="156"/>
      <c r="NF11" s="156"/>
      <c r="NG11" s="156"/>
      <c r="NH11" s="156"/>
      <c r="NI11" s="156"/>
      <c r="NJ11" s="156"/>
      <c r="NK11" s="156"/>
      <c r="NL11" s="156"/>
      <c r="NM11" s="156"/>
      <c r="NN11" s="156"/>
      <c r="NO11" s="156"/>
      <c r="NP11" s="156"/>
      <c r="NQ11" s="156"/>
      <c r="NR11" s="156"/>
      <c r="NS11" s="156"/>
      <c r="NT11" s="156"/>
      <c r="NU11" s="156"/>
      <c r="NV11" s="156"/>
      <c r="NW11" s="156"/>
      <c r="NX11" s="156"/>
      <c r="NY11" s="156"/>
      <c r="NZ11" s="156"/>
      <c r="OA11" s="156"/>
      <c r="OB11" s="156"/>
      <c r="OC11" s="156"/>
      <c r="OD11" s="156"/>
      <c r="OE11" s="156"/>
      <c r="OF11" s="156"/>
      <c r="OG11" s="156"/>
      <c r="OH11" s="156"/>
      <c r="OI11" s="156"/>
      <c r="OJ11" s="156"/>
      <c r="OK11" s="156"/>
      <c r="OL11" s="156"/>
      <c r="OM11" s="156"/>
      <c r="ON11" s="156"/>
      <c r="OO11" s="156"/>
      <c r="OP11" s="156"/>
      <c r="OQ11" s="156"/>
      <c r="OR11" s="156"/>
      <c r="OS11" s="156"/>
      <c r="OT11" s="156"/>
      <c r="OU11" s="156"/>
      <c r="OV11" s="156"/>
      <c r="OW11" s="156"/>
      <c r="OX11" s="156"/>
      <c r="OY11" s="156"/>
      <c r="OZ11" s="156"/>
      <c r="PA11" s="156"/>
      <c r="PB11" s="156"/>
      <c r="PC11" s="156"/>
      <c r="PD11" s="156"/>
      <c r="PE11" s="156"/>
      <c r="PF11" s="156"/>
      <c r="PG11" s="156"/>
      <c r="PH11" s="156"/>
      <c r="PI11" s="156"/>
      <c r="PJ11" s="156"/>
      <c r="PK11" s="156"/>
      <c r="PL11" s="156"/>
      <c r="PM11" s="156"/>
      <c r="PN11" s="156"/>
      <c r="PO11" s="156"/>
      <c r="PP11" s="156"/>
      <c r="PQ11" s="156"/>
      <c r="PR11" s="156"/>
      <c r="PS11" s="156"/>
      <c r="PT11" s="156"/>
      <c r="PU11" s="156"/>
      <c r="PV11" s="156"/>
      <c r="PW11" s="156"/>
      <c r="PX11" s="156"/>
      <c r="PY11" s="156"/>
      <c r="PZ11" s="156"/>
      <c r="QA11" s="156"/>
      <c r="QB11" s="156"/>
      <c r="QC11" s="156"/>
      <c r="QD11" s="156"/>
      <c r="QE11" s="156"/>
      <c r="QF11" s="156"/>
      <c r="QG11" s="156"/>
      <c r="QH11" s="156"/>
      <c r="QI11" s="156"/>
      <c r="QJ11" s="156"/>
      <c r="QK11" s="156"/>
      <c r="QL11" s="156"/>
      <c r="QM11" s="156"/>
      <c r="QN11" s="156"/>
      <c r="QO11" s="156"/>
      <c r="QP11" s="156"/>
      <c r="QQ11" s="156"/>
      <c r="QR11" s="156"/>
      <c r="QS11" s="156"/>
      <c r="QT11" s="156"/>
      <c r="QU11" s="156"/>
      <c r="QV11" s="156"/>
      <c r="QW11" s="156"/>
      <c r="QX11" s="156"/>
      <c r="QY11" s="156"/>
      <c r="QZ11" s="156"/>
      <c r="RA11" s="156"/>
      <c r="RB11" s="156"/>
      <c r="RC11" s="156"/>
      <c r="RD11" s="156"/>
      <c r="RE11" s="156"/>
      <c r="RF11" s="156"/>
      <c r="RG11" s="156"/>
      <c r="RH11" s="156"/>
      <c r="RI11" s="156"/>
      <c r="RJ11" s="156"/>
      <c r="RK11" s="156"/>
      <c r="RL11" s="156"/>
      <c r="RM11" s="156"/>
      <c r="RN11" s="156"/>
      <c r="RO11" s="156"/>
      <c r="RP11" s="156"/>
      <c r="RQ11" s="156"/>
      <c r="RR11" s="156"/>
      <c r="RS11" s="156"/>
      <c r="RT11" s="156"/>
      <c r="RU11" s="156"/>
      <c r="RV11" s="156"/>
      <c r="RW11" s="156"/>
      <c r="RX11" s="156"/>
      <c r="RY11" s="156"/>
      <c r="RZ11" s="156"/>
      <c r="SA11" s="156"/>
      <c r="SB11" s="156"/>
      <c r="SC11" s="156"/>
      <c r="SD11" s="156"/>
      <c r="SE11" s="156"/>
      <c r="SF11" s="156"/>
      <c r="SG11" s="156"/>
      <c r="SH11" s="156"/>
      <c r="SI11" s="156"/>
      <c r="SJ11" s="156"/>
      <c r="SK11" s="156"/>
      <c r="SL11" s="156"/>
      <c r="SM11" s="156"/>
      <c r="SN11" s="156"/>
      <c r="SO11" s="156"/>
      <c r="SP11" s="156"/>
      <c r="SQ11" s="156"/>
      <c r="SR11" s="156"/>
      <c r="SS11" s="156"/>
      <c r="ST11" s="156"/>
      <c r="SU11" s="156"/>
      <c r="SV11" s="156"/>
      <c r="SW11" s="156"/>
      <c r="SX11" s="156"/>
      <c r="SY11" s="156"/>
      <c r="SZ11" s="156"/>
      <c r="TA11" s="156"/>
      <c r="TB11" s="156"/>
      <c r="TC11" s="156"/>
      <c r="TD11" s="156"/>
      <c r="TE11" s="156"/>
      <c r="TF11" s="156"/>
      <c r="TG11" s="156"/>
      <c r="TH11" s="156"/>
      <c r="TI11" s="156"/>
      <c r="TJ11" s="156"/>
      <c r="TK11" s="156"/>
      <c r="TL11" s="139"/>
      <c r="TM11" s="139"/>
      <c r="TN11" s="139"/>
      <c r="TO11" s="139"/>
      <c r="TP11" s="139"/>
      <c r="TQ11" s="139"/>
      <c r="TR11" s="139"/>
      <c r="TS11" s="139"/>
      <c r="TT11" s="139"/>
      <c r="TU11" s="139"/>
      <c r="TV11" s="139"/>
      <c r="TW11" s="139"/>
      <c r="TX11" s="139"/>
      <c r="TY11" s="139"/>
      <c r="TZ11" s="139"/>
      <c r="UA11" s="139"/>
      <c r="UB11" s="139"/>
      <c r="UC11" s="139"/>
      <c r="UD11" s="139"/>
      <c r="UE11" s="139"/>
      <c r="UF11" s="139"/>
      <c r="UG11" s="139"/>
      <c r="UH11" s="139"/>
      <c r="UI11" s="139"/>
      <c r="UJ11" s="139"/>
      <c r="UK11" s="139"/>
      <c r="UL11" s="139"/>
      <c r="UM11" s="139"/>
      <c r="UN11" s="139"/>
      <c r="UO11" s="139"/>
      <c r="UP11" s="139"/>
      <c r="UQ11" s="139"/>
      <c r="UR11" s="139"/>
      <c r="US11" s="139"/>
      <c r="UT11" s="139"/>
      <c r="UU11" s="139"/>
      <c r="UV11" s="139"/>
      <c r="UW11" s="139"/>
      <c r="UX11" s="139"/>
      <c r="UY11" s="139"/>
      <c r="UZ11" s="139"/>
      <c r="VA11" s="139"/>
      <c r="VB11" s="139"/>
      <c r="VC11" s="139"/>
      <c r="VD11" s="139"/>
      <c r="VE11" s="139"/>
      <c r="VF11" s="139"/>
      <c r="VG11" s="139"/>
      <c r="VH11" s="139"/>
      <c r="VI11" s="139"/>
      <c r="VJ11" s="139"/>
      <c r="VK11" s="139"/>
      <c r="VL11" s="139"/>
      <c r="VM11" s="139"/>
      <c r="VN11" s="139"/>
      <c r="VO11" s="139"/>
      <c r="VP11" s="139"/>
      <c r="VQ11" s="139"/>
      <c r="VR11" s="139"/>
      <c r="VS11" s="139"/>
      <c r="VT11" s="139"/>
      <c r="VU11" s="139"/>
      <c r="VV11" s="139"/>
      <c r="VW11" s="139"/>
      <c r="VX11" s="139"/>
      <c r="VY11" s="139"/>
      <c r="VZ11" s="139"/>
      <c r="WA11" s="139"/>
      <c r="WB11" s="139"/>
      <c r="WC11" s="139"/>
      <c r="WD11" s="139"/>
      <c r="WE11" s="139"/>
      <c r="WF11" s="139"/>
      <c r="WG11" s="139"/>
      <c r="WH11" s="139"/>
      <c r="WI11" s="139"/>
      <c r="WJ11" s="139"/>
      <c r="WK11" s="139"/>
      <c r="WL11" s="139"/>
      <c r="WM11" s="139"/>
      <c r="WN11" s="139"/>
      <c r="WO11" s="139"/>
      <c r="WP11" s="139"/>
      <c r="WQ11" s="139"/>
      <c r="WR11" s="139"/>
      <c r="WS11" s="139"/>
      <c r="WT11" s="139"/>
      <c r="WU11" s="139"/>
    </row>
    <row r="12" spans="1:619" s="161" customFormat="1" ht="12.75" customHeight="1" x14ac:dyDescent="0.25">
      <c r="A12" s="162" t="s">
        <v>121</v>
      </c>
      <c r="B12" s="173" t="s">
        <v>193</v>
      </c>
      <c r="C12" s="164">
        <v>388</v>
      </c>
      <c r="D12" s="164">
        <v>388</v>
      </c>
      <c r="E12" s="165">
        <v>9</v>
      </c>
      <c r="F12" s="165">
        <f>E12-1</f>
        <v>8</v>
      </c>
      <c r="G12" s="166">
        <f>C12*E12</f>
        <v>3492</v>
      </c>
      <c r="H12" s="166">
        <f>F12*C12</f>
        <v>3104</v>
      </c>
      <c r="I12" s="167">
        <v>3</v>
      </c>
      <c r="J12" s="167">
        <v>2</v>
      </c>
      <c r="K12" s="167">
        <v>25.89</v>
      </c>
      <c r="L12" s="168">
        <v>18</v>
      </c>
      <c r="M12" s="169">
        <f>C12*2</f>
        <v>776</v>
      </c>
      <c r="N12" s="181">
        <v>0</v>
      </c>
      <c r="O12" s="170">
        <f>4*11</f>
        <v>44</v>
      </c>
      <c r="P12" s="165">
        <f>C12*2</f>
        <v>776</v>
      </c>
      <c r="Q12" s="170">
        <f>O12</f>
        <v>44</v>
      </c>
      <c r="R12" s="304">
        <f>(C12-Q12)*2</f>
        <v>688</v>
      </c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</row>
    <row r="13" spans="1:619" s="159" customFormat="1" ht="12.75" customHeight="1" x14ac:dyDescent="0.2">
      <c r="A13" s="162" t="s">
        <v>121</v>
      </c>
      <c r="B13" s="163" t="s">
        <v>231</v>
      </c>
      <c r="C13" s="164">
        <v>16</v>
      </c>
      <c r="D13" s="164">
        <v>16</v>
      </c>
      <c r="E13" s="165">
        <v>9</v>
      </c>
      <c r="F13" s="165">
        <v>9</v>
      </c>
      <c r="G13" s="166">
        <f>D13*E13</f>
        <v>144</v>
      </c>
      <c r="H13" s="166">
        <f>F13*D13</f>
        <v>144</v>
      </c>
      <c r="I13" s="167">
        <v>0</v>
      </c>
      <c r="J13" s="167">
        <v>0</v>
      </c>
      <c r="K13" s="167">
        <v>0</v>
      </c>
      <c r="L13" s="168"/>
      <c r="M13" s="169">
        <f>D13*2</f>
        <v>32</v>
      </c>
      <c r="N13" s="181">
        <v>0</v>
      </c>
      <c r="O13" s="170"/>
      <c r="P13" s="165"/>
      <c r="Q13" s="170"/>
      <c r="R13" s="304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  <c r="IE13" s="156"/>
      <c r="IF13" s="156"/>
      <c r="IG13" s="156"/>
      <c r="IH13" s="156"/>
      <c r="II13" s="156"/>
      <c r="IJ13" s="156"/>
      <c r="IK13" s="156"/>
      <c r="IL13" s="156"/>
      <c r="IM13" s="156"/>
      <c r="IN13" s="156"/>
      <c r="IO13" s="156"/>
      <c r="IP13" s="156"/>
      <c r="IQ13" s="156"/>
      <c r="IR13" s="156"/>
      <c r="IS13" s="156"/>
      <c r="IT13" s="156"/>
      <c r="IU13" s="156"/>
      <c r="IV13" s="156"/>
      <c r="IW13" s="156"/>
      <c r="IX13" s="156"/>
      <c r="IY13" s="156"/>
      <c r="IZ13" s="156"/>
      <c r="JA13" s="156"/>
      <c r="JB13" s="156"/>
      <c r="JC13" s="156"/>
      <c r="JD13" s="156"/>
      <c r="JE13" s="156"/>
      <c r="JF13" s="156"/>
      <c r="JG13" s="156"/>
      <c r="JH13" s="156"/>
      <c r="JI13" s="156"/>
      <c r="JJ13" s="156"/>
      <c r="JK13" s="156"/>
      <c r="JL13" s="156"/>
      <c r="JM13" s="156"/>
      <c r="JN13" s="156"/>
      <c r="JO13" s="156"/>
      <c r="JP13" s="156"/>
      <c r="JQ13" s="156"/>
      <c r="JR13" s="156"/>
      <c r="JS13" s="156"/>
      <c r="JT13" s="156"/>
      <c r="JU13" s="156"/>
      <c r="JV13" s="156"/>
      <c r="JW13" s="156"/>
      <c r="JX13" s="156"/>
      <c r="JY13" s="156"/>
      <c r="JZ13" s="156"/>
      <c r="KA13" s="156"/>
      <c r="KB13" s="156"/>
      <c r="KC13" s="156"/>
      <c r="KD13" s="156"/>
      <c r="KE13" s="156"/>
      <c r="KF13" s="156"/>
      <c r="KG13" s="156"/>
      <c r="KH13" s="156"/>
      <c r="KI13" s="156"/>
      <c r="KJ13" s="156"/>
      <c r="KK13" s="156"/>
      <c r="KL13" s="156"/>
      <c r="KM13" s="156"/>
      <c r="KN13" s="156"/>
      <c r="KO13" s="156"/>
      <c r="KP13" s="156"/>
      <c r="KQ13" s="156"/>
      <c r="KR13" s="156"/>
      <c r="KS13" s="156"/>
      <c r="KT13" s="156"/>
      <c r="KU13" s="156"/>
      <c r="KV13" s="156"/>
      <c r="KW13" s="156"/>
      <c r="KX13" s="156"/>
      <c r="KY13" s="156"/>
      <c r="KZ13" s="156"/>
      <c r="LA13" s="156"/>
      <c r="LB13" s="156"/>
      <c r="LC13" s="156"/>
      <c r="LD13" s="156"/>
      <c r="LE13" s="156"/>
      <c r="LF13" s="156"/>
      <c r="LG13" s="156"/>
      <c r="LH13" s="156"/>
      <c r="LI13" s="156"/>
      <c r="LJ13" s="156"/>
      <c r="LK13" s="156"/>
      <c r="LL13" s="156"/>
      <c r="LM13" s="156"/>
      <c r="LN13" s="156"/>
      <c r="LO13" s="156"/>
      <c r="LP13" s="156"/>
      <c r="LQ13" s="156"/>
      <c r="LR13" s="156"/>
      <c r="LS13" s="156"/>
      <c r="LT13" s="156"/>
      <c r="LU13" s="156"/>
      <c r="LV13" s="156"/>
      <c r="LW13" s="156"/>
      <c r="LX13" s="156"/>
      <c r="LY13" s="156"/>
      <c r="LZ13" s="156"/>
      <c r="MA13" s="156"/>
      <c r="MB13" s="156"/>
      <c r="MC13" s="156"/>
      <c r="MD13" s="156"/>
      <c r="ME13" s="156"/>
      <c r="MF13" s="156"/>
      <c r="MG13" s="156"/>
      <c r="MH13" s="156"/>
      <c r="MI13" s="156"/>
      <c r="MJ13" s="156"/>
      <c r="MK13" s="156"/>
      <c r="ML13" s="156"/>
      <c r="MM13" s="156"/>
      <c r="MN13" s="156"/>
      <c r="MO13" s="156"/>
      <c r="MP13" s="156"/>
      <c r="MQ13" s="156"/>
      <c r="MR13" s="156"/>
      <c r="MS13" s="156"/>
      <c r="MT13" s="156"/>
      <c r="MU13" s="156"/>
      <c r="MV13" s="156"/>
      <c r="MW13" s="156"/>
      <c r="MX13" s="156"/>
      <c r="MY13" s="156"/>
      <c r="MZ13" s="156"/>
      <c r="NA13" s="156"/>
      <c r="NB13" s="156"/>
      <c r="NC13" s="156"/>
      <c r="ND13" s="156"/>
      <c r="NE13" s="156"/>
      <c r="NF13" s="156"/>
      <c r="NG13" s="156"/>
      <c r="NH13" s="156"/>
      <c r="NI13" s="156"/>
      <c r="NJ13" s="156"/>
      <c r="NK13" s="156"/>
      <c r="NL13" s="156"/>
      <c r="NM13" s="156"/>
      <c r="NN13" s="156"/>
      <c r="NO13" s="156"/>
      <c r="NP13" s="156"/>
      <c r="NQ13" s="156"/>
      <c r="NR13" s="156"/>
      <c r="NS13" s="156"/>
      <c r="NT13" s="156"/>
      <c r="NU13" s="156"/>
      <c r="NV13" s="156"/>
      <c r="NW13" s="156"/>
      <c r="NX13" s="156"/>
      <c r="NY13" s="156"/>
      <c r="NZ13" s="156"/>
      <c r="OA13" s="156"/>
      <c r="OB13" s="156"/>
      <c r="OC13" s="156"/>
      <c r="OD13" s="156"/>
      <c r="OE13" s="156"/>
      <c r="OF13" s="156"/>
      <c r="OG13" s="156"/>
      <c r="OH13" s="156"/>
      <c r="OI13" s="156"/>
      <c r="OJ13" s="156"/>
      <c r="OK13" s="156"/>
      <c r="OL13" s="156"/>
      <c r="OM13" s="156"/>
      <c r="ON13" s="156"/>
      <c r="OO13" s="156"/>
      <c r="OP13" s="156"/>
      <c r="OQ13" s="156"/>
      <c r="OR13" s="156"/>
      <c r="OS13" s="156"/>
      <c r="OT13" s="156"/>
      <c r="OU13" s="156"/>
      <c r="OV13" s="156"/>
      <c r="OW13" s="156"/>
      <c r="OX13" s="156"/>
      <c r="OY13" s="156"/>
      <c r="OZ13" s="156"/>
      <c r="PA13" s="156"/>
      <c r="PB13" s="156"/>
      <c r="PC13" s="156"/>
      <c r="PD13" s="156"/>
      <c r="PE13" s="156"/>
      <c r="PF13" s="156"/>
      <c r="PG13" s="156"/>
      <c r="PH13" s="156"/>
      <c r="PI13" s="156"/>
      <c r="PJ13" s="156"/>
      <c r="PK13" s="156"/>
      <c r="PL13" s="156"/>
      <c r="PM13" s="156"/>
      <c r="PN13" s="156"/>
      <c r="PO13" s="156"/>
      <c r="PP13" s="156"/>
      <c r="PQ13" s="156"/>
      <c r="PR13" s="156"/>
      <c r="PS13" s="156"/>
      <c r="PT13" s="156"/>
      <c r="PU13" s="156"/>
      <c r="PV13" s="156"/>
      <c r="PW13" s="156"/>
      <c r="PX13" s="156"/>
      <c r="PY13" s="156"/>
      <c r="PZ13" s="156"/>
      <c r="QA13" s="156"/>
      <c r="QB13" s="156"/>
      <c r="QC13" s="156"/>
      <c r="QD13" s="156"/>
      <c r="QE13" s="156"/>
      <c r="QF13" s="156"/>
      <c r="QG13" s="156"/>
      <c r="QH13" s="156"/>
      <c r="QI13" s="156"/>
      <c r="QJ13" s="156"/>
      <c r="QK13" s="156"/>
      <c r="QL13" s="156"/>
      <c r="QM13" s="156"/>
      <c r="QN13" s="156"/>
      <c r="QO13" s="156"/>
      <c r="QP13" s="156"/>
      <c r="QQ13" s="156"/>
      <c r="QR13" s="156"/>
      <c r="QS13" s="156"/>
      <c r="QT13" s="156"/>
      <c r="QU13" s="156"/>
      <c r="QV13" s="156"/>
      <c r="QW13" s="156"/>
      <c r="QX13" s="156"/>
      <c r="QY13" s="156"/>
      <c r="QZ13" s="156"/>
      <c r="RA13" s="156"/>
      <c r="RB13" s="156"/>
      <c r="RC13" s="156"/>
      <c r="RD13" s="156"/>
      <c r="RE13" s="156"/>
      <c r="RF13" s="156"/>
      <c r="RG13" s="156"/>
      <c r="RH13" s="156"/>
      <c r="RI13" s="156"/>
      <c r="RJ13" s="156"/>
      <c r="RK13" s="156"/>
      <c r="RL13" s="156"/>
      <c r="RM13" s="156"/>
      <c r="RN13" s="156"/>
      <c r="RO13" s="156"/>
      <c r="RP13" s="156"/>
      <c r="RQ13" s="156"/>
      <c r="RR13" s="156"/>
      <c r="RS13" s="156"/>
      <c r="RT13" s="156"/>
      <c r="RU13" s="156"/>
      <c r="RV13" s="156"/>
      <c r="RW13" s="156"/>
      <c r="RX13" s="156"/>
      <c r="RY13" s="156"/>
      <c r="RZ13" s="156"/>
      <c r="SA13" s="156"/>
      <c r="SB13" s="156"/>
      <c r="SC13" s="156"/>
      <c r="SD13" s="156"/>
      <c r="SE13" s="156"/>
      <c r="SF13" s="156"/>
      <c r="SG13" s="156"/>
      <c r="SH13" s="156"/>
      <c r="SI13" s="156"/>
      <c r="SJ13" s="156"/>
      <c r="SK13" s="156"/>
      <c r="SL13" s="156"/>
      <c r="SM13" s="156"/>
      <c r="SN13" s="156"/>
      <c r="SO13" s="156"/>
      <c r="SP13" s="156"/>
      <c r="SQ13" s="156"/>
      <c r="SR13" s="156"/>
      <c r="SS13" s="156"/>
      <c r="ST13" s="156"/>
      <c r="SU13" s="156"/>
      <c r="SV13" s="156"/>
      <c r="SW13" s="156"/>
      <c r="SX13" s="156"/>
      <c r="SY13" s="156"/>
      <c r="SZ13" s="156"/>
      <c r="TA13" s="156"/>
      <c r="TB13" s="156"/>
      <c r="TC13" s="156"/>
      <c r="TD13" s="156"/>
      <c r="TE13" s="156"/>
      <c r="TF13" s="156"/>
      <c r="TG13" s="156"/>
      <c r="TH13" s="156"/>
      <c r="TI13" s="156"/>
      <c r="TJ13" s="156"/>
      <c r="TK13" s="156"/>
      <c r="TL13" s="156"/>
      <c r="TM13" s="156"/>
      <c r="TN13" s="156"/>
      <c r="TO13" s="156"/>
      <c r="TP13" s="156"/>
      <c r="TQ13" s="156"/>
      <c r="TR13" s="156"/>
      <c r="TS13" s="156"/>
      <c r="TT13" s="156"/>
      <c r="TU13" s="156"/>
      <c r="TV13" s="156"/>
      <c r="TW13" s="156"/>
      <c r="TX13" s="156"/>
      <c r="TY13" s="156"/>
      <c r="TZ13" s="156"/>
      <c r="UA13" s="156"/>
      <c r="UB13" s="156"/>
      <c r="UC13" s="156"/>
      <c r="UD13" s="156"/>
      <c r="UE13" s="156"/>
      <c r="UF13" s="156"/>
      <c r="UG13" s="156"/>
      <c r="UH13" s="156"/>
      <c r="UI13" s="156"/>
      <c r="UJ13" s="156"/>
      <c r="UK13" s="156"/>
      <c r="UL13" s="156"/>
      <c r="UM13" s="156"/>
      <c r="UN13" s="156"/>
      <c r="UO13" s="156"/>
      <c r="UP13" s="156"/>
      <c r="UQ13" s="156"/>
      <c r="UR13" s="156"/>
      <c r="US13" s="156"/>
      <c r="UT13" s="156"/>
      <c r="UU13" s="156"/>
      <c r="UV13" s="156"/>
      <c r="UW13" s="156"/>
      <c r="UX13" s="156"/>
      <c r="UY13" s="156"/>
      <c r="UZ13" s="156"/>
      <c r="VA13" s="156"/>
      <c r="VB13" s="156"/>
      <c r="VC13" s="156"/>
      <c r="VD13" s="156"/>
      <c r="VE13" s="156"/>
      <c r="VF13" s="156"/>
      <c r="VG13" s="156"/>
      <c r="VH13" s="156"/>
      <c r="VI13" s="156"/>
      <c r="VJ13" s="156"/>
      <c r="VK13" s="156"/>
      <c r="VL13" s="156"/>
      <c r="VM13" s="156"/>
      <c r="VN13" s="156"/>
      <c r="VO13" s="156"/>
      <c r="VP13" s="156"/>
      <c r="VQ13" s="156"/>
      <c r="VR13" s="156"/>
      <c r="VS13" s="156"/>
      <c r="VT13" s="156"/>
      <c r="VU13" s="156"/>
      <c r="VV13" s="156"/>
      <c r="VW13" s="156"/>
      <c r="VX13" s="156"/>
      <c r="VY13" s="156"/>
      <c r="VZ13" s="156"/>
      <c r="WA13" s="156"/>
      <c r="WB13" s="156"/>
      <c r="WC13" s="156"/>
      <c r="WD13" s="156"/>
      <c r="WE13" s="156"/>
      <c r="WF13" s="156"/>
      <c r="WG13" s="156"/>
      <c r="WH13" s="156"/>
      <c r="WI13" s="156"/>
      <c r="WJ13" s="156"/>
      <c r="WK13" s="156"/>
      <c r="WL13" s="156"/>
      <c r="WM13" s="156"/>
      <c r="WN13" s="156"/>
      <c r="WO13" s="156"/>
      <c r="WP13" s="156"/>
      <c r="WQ13" s="156"/>
      <c r="WR13" s="156"/>
      <c r="WS13" s="156"/>
      <c r="WT13" s="156"/>
      <c r="WU13" s="156"/>
    </row>
    <row r="14" spans="1:619" s="159" customFormat="1" ht="12.75" customHeight="1" x14ac:dyDescent="0.2">
      <c r="A14" s="162" t="s">
        <v>121</v>
      </c>
      <c r="B14" s="163" t="s">
        <v>231</v>
      </c>
      <c r="C14" s="164">
        <v>15.8</v>
      </c>
      <c r="D14" s="164">
        <v>15.8</v>
      </c>
      <c r="E14" s="165">
        <v>9</v>
      </c>
      <c r="F14" s="165">
        <v>9</v>
      </c>
      <c r="G14" s="166">
        <f>D14*F14</f>
        <v>142.20000000000002</v>
      </c>
      <c r="H14" s="166">
        <v>142.19999999999999</v>
      </c>
      <c r="I14" s="167"/>
      <c r="J14" s="167"/>
      <c r="K14" s="167"/>
      <c r="L14" s="168"/>
      <c r="M14" s="169">
        <f>D14</f>
        <v>15.8</v>
      </c>
      <c r="N14" s="181">
        <v>0</v>
      </c>
      <c r="O14" s="170">
        <f>4*11</f>
        <v>44</v>
      </c>
      <c r="P14" s="165">
        <f>D14</f>
        <v>15.8</v>
      </c>
      <c r="Q14" s="170">
        <f>4*11</f>
        <v>44</v>
      </c>
      <c r="R14" s="304">
        <f>D14-Q14</f>
        <v>-28.2</v>
      </c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  <c r="IV14" s="156"/>
      <c r="IW14" s="156"/>
      <c r="IX14" s="156"/>
      <c r="IY14" s="156"/>
      <c r="IZ14" s="156"/>
      <c r="JA14" s="156"/>
      <c r="JB14" s="156"/>
      <c r="JC14" s="156"/>
      <c r="JD14" s="156"/>
      <c r="JE14" s="156"/>
      <c r="JF14" s="156"/>
      <c r="JG14" s="156"/>
      <c r="JH14" s="156"/>
      <c r="JI14" s="156"/>
      <c r="JJ14" s="156"/>
      <c r="JK14" s="156"/>
      <c r="JL14" s="156"/>
      <c r="JM14" s="156"/>
      <c r="JN14" s="156"/>
      <c r="JO14" s="156"/>
      <c r="JP14" s="156"/>
      <c r="JQ14" s="156"/>
      <c r="JR14" s="156"/>
      <c r="JS14" s="156"/>
      <c r="JT14" s="156"/>
      <c r="JU14" s="156"/>
      <c r="JV14" s="156"/>
      <c r="JW14" s="156"/>
      <c r="JX14" s="156"/>
      <c r="JY14" s="156"/>
      <c r="JZ14" s="156"/>
      <c r="KA14" s="156"/>
      <c r="KB14" s="156"/>
      <c r="KC14" s="156"/>
      <c r="KD14" s="156"/>
      <c r="KE14" s="156"/>
      <c r="KF14" s="156"/>
      <c r="KG14" s="156"/>
      <c r="KH14" s="156"/>
      <c r="KI14" s="156"/>
      <c r="KJ14" s="156"/>
      <c r="KK14" s="156"/>
      <c r="KL14" s="156"/>
      <c r="KM14" s="156"/>
      <c r="KN14" s="156"/>
      <c r="KO14" s="156"/>
      <c r="KP14" s="156"/>
      <c r="KQ14" s="156"/>
      <c r="KR14" s="156"/>
      <c r="KS14" s="156"/>
      <c r="KT14" s="156"/>
      <c r="KU14" s="156"/>
      <c r="KV14" s="156"/>
      <c r="KW14" s="156"/>
      <c r="KX14" s="156"/>
      <c r="KY14" s="156"/>
      <c r="KZ14" s="156"/>
      <c r="LA14" s="156"/>
      <c r="LB14" s="156"/>
      <c r="LC14" s="156"/>
      <c r="LD14" s="156"/>
      <c r="LE14" s="156"/>
      <c r="LF14" s="156"/>
      <c r="LG14" s="156"/>
      <c r="LH14" s="156"/>
      <c r="LI14" s="156"/>
      <c r="LJ14" s="156"/>
      <c r="LK14" s="156"/>
      <c r="LL14" s="156"/>
      <c r="LM14" s="156"/>
      <c r="LN14" s="156"/>
      <c r="LO14" s="156"/>
      <c r="LP14" s="156"/>
      <c r="LQ14" s="156"/>
      <c r="LR14" s="156"/>
      <c r="LS14" s="156"/>
      <c r="LT14" s="156"/>
      <c r="LU14" s="156"/>
      <c r="LV14" s="156"/>
      <c r="LW14" s="156"/>
      <c r="LX14" s="156"/>
      <c r="LY14" s="156"/>
      <c r="LZ14" s="156"/>
      <c r="MA14" s="156"/>
      <c r="MB14" s="156"/>
      <c r="MC14" s="156"/>
      <c r="MD14" s="156"/>
      <c r="ME14" s="156"/>
      <c r="MF14" s="156"/>
      <c r="MG14" s="156"/>
      <c r="MH14" s="156"/>
      <c r="MI14" s="156"/>
      <c r="MJ14" s="156"/>
      <c r="MK14" s="156"/>
      <c r="ML14" s="156"/>
      <c r="MM14" s="156"/>
      <c r="MN14" s="156"/>
      <c r="MO14" s="156"/>
      <c r="MP14" s="156"/>
      <c r="MQ14" s="156"/>
      <c r="MR14" s="156"/>
      <c r="MS14" s="156"/>
      <c r="MT14" s="156"/>
      <c r="MU14" s="156"/>
      <c r="MV14" s="156"/>
      <c r="MW14" s="156"/>
      <c r="MX14" s="156"/>
      <c r="MY14" s="156"/>
      <c r="MZ14" s="156"/>
      <c r="NA14" s="156"/>
      <c r="NB14" s="156"/>
      <c r="NC14" s="156"/>
      <c r="ND14" s="156"/>
      <c r="NE14" s="156"/>
      <c r="NF14" s="156"/>
      <c r="NG14" s="156"/>
      <c r="NH14" s="156"/>
      <c r="NI14" s="156"/>
      <c r="NJ14" s="156"/>
      <c r="NK14" s="156"/>
      <c r="NL14" s="156"/>
      <c r="NM14" s="156"/>
      <c r="NN14" s="156"/>
      <c r="NO14" s="156"/>
      <c r="NP14" s="156"/>
      <c r="NQ14" s="156"/>
      <c r="NR14" s="156"/>
      <c r="NS14" s="156"/>
      <c r="NT14" s="156"/>
      <c r="NU14" s="156"/>
      <c r="NV14" s="156"/>
      <c r="NW14" s="156"/>
      <c r="NX14" s="156"/>
      <c r="NY14" s="156"/>
      <c r="NZ14" s="156"/>
      <c r="OA14" s="156"/>
      <c r="OB14" s="156"/>
      <c r="OC14" s="156"/>
      <c r="OD14" s="156"/>
      <c r="OE14" s="156"/>
      <c r="OF14" s="156"/>
      <c r="OG14" s="156"/>
      <c r="OH14" s="156"/>
      <c r="OI14" s="156"/>
      <c r="OJ14" s="156"/>
      <c r="OK14" s="156"/>
      <c r="OL14" s="156"/>
      <c r="OM14" s="156"/>
      <c r="ON14" s="156"/>
      <c r="OO14" s="156"/>
      <c r="OP14" s="156"/>
      <c r="OQ14" s="156"/>
      <c r="OR14" s="156"/>
      <c r="OS14" s="156"/>
      <c r="OT14" s="156"/>
      <c r="OU14" s="156"/>
      <c r="OV14" s="156"/>
      <c r="OW14" s="156"/>
      <c r="OX14" s="156"/>
      <c r="OY14" s="156"/>
      <c r="OZ14" s="156"/>
      <c r="PA14" s="156"/>
      <c r="PB14" s="156"/>
      <c r="PC14" s="156"/>
      <c r="PD14" s="156"/>
      <c r="PE14" s="156"/>
      <c r="PF14" s="156"/>
      <c r="PG14" s="156"/>
      <c r="PH14" s="156"/>
      <c r="PI14" s="156"/>
      <c r="PJ14" s="156"/>
      <c r="PK14" s="156"/>
      <c r="PL14" s="156"/>
      <c r="PM14" s="156"/>
      <c r="PN14" s="156"/>
      <c r="PO14" s="156"/>
      <c r="PP14" s="156"/>
      <c r="PQ14" s="156"/>
      <c r="PR14" s="156"/>
      <c r="PS14" s="156"/>
      <c r="PT14" s="156"/>
      <c r="PU14" s="156"/>
      <c r="PV14" s="156"/>
      <c r="PW14" s="156"/>
      <c r="PX14" s="156"/>
      <c r="PY14" s="156"/>
      <c r="PZ14" s="156"/>
      <c r="QA14" s="156"/>
      <c r="QB14" s="156"/>
      <c r="QC14" s="156"/>
      <c r="QD14" s="156"/>
      <c r="QE14" s="156"/>
      <c r="QF14" s="156"/>
      <c r="QG14" s="156"/>
      <c r="QH14" s="156"/>
      <c r="QI14" s="156"/>
      <c r="QJ14" s="156"/>
      <c r="QK14" s="156"/>
      <c r="QL14" s="156"/>
      <c r="QM14" s="156"/>
      <c r="QN14" s="156"/>
      <c r="QO14" s="156"/>
      <c r="QP14" s="156"/>
      <c r="QQ14" s="156"/>
      <c r="QR14" s="156"/>
      <c r="QS14" s="156"/>
      <c r="QT14" s="156"/>
      <c r="QU14" s="156"/>
      <c r="QV14" s="156"/>
      <c r="QW14" s="156"/>
      <c r="QX14" s="156"/>
      <c r="QY14" s="156"/>
      <c r="QZ14" s="156"/>
      <c r="RA14" s="156"/>
      <c r="RB14" s="156"/>
      <c r="RC14" s="156"/>
      <c r="RD14" s="156"/>
      <c r="RE14" s="156"/>
      <c r="RF14" s="156"/>
      <c r="RG14" s="156"/>
      <c r="RH14" s="156"/>
      <c r="RI14" s="156"/>
      <c r="RJ14" s="156"/>
      <c r="RK14" s="156"/>
      <c r="RL14" s="156"/>
      <c r="RM14" s="156"/>
      <c r="RN14" s="156"/>
      <c r="RO14" s="156"/>
      <c r="RP14" s="156"/>
      <c r="RQ14" s="156"/>
      <c r="RR14" s="156"/>
      <c r="RS14" s="156"/>
      <c r="RT14" s="156"/>
      <c r="RU14" s="156"/>
      <c r="RV14" s="156"/>
      <c r="RW14" s="156"/>
      <c r="RX14" s="156"/>
      <c r="RY14" s="156"/>
      <c r="RZ14" s="156"/>
      <c r="SA14" s="156"/>
      <c r="SB14" s="156"/>
      <c r="SC14" s="156"/>
      <c r="SD14" s="156"/>
      <c r="SE14" s="156"/>
      <c r="SF14" s="156"/>
      <c r="SG14" s="156"/>
      <c r="SH14" s="156"/>
      <c r="SI14" s="156"/>
      <c r="SJ14" s="156"/>
      <c r="SK14" s="156"/>
      <c r="SL14" s="156"/>
      <c r="SM14" s="156"/>
      <c r="SN14" s="156"/>
      <c r="SO14" s="156"/>
      <c r="SP14" s="156"/>
      <c r="SQ14" s="156"/>
      <c r="SR14" s="156"/>
      <c r="SS14" s="156"/>
      <c r="ST14" s="156"/>
      <c r="SU14" s="156"/>
      <c r="SV14" s="156"/>
      <c r="SW14" s="156"/>
      <c r="SX14" s="156"/>
      <c r="SY14" s="156"/>
      <c r="SZ14" s="156"/>
      <c r="TA14" s="156"/>
      <c r="TB14" s="156"/>
      <c r="TC14" s="156"/>
      <c r="TD14" s="156"/>
      <c r="TE14" s="156"/>
      <c r="TF14" s="156"/>
      <c r="TG14" s="156"/>
      <c r="TH14" s="156"/>
      <c r="TI14" s="156"/>
      <c r="TJ14" s="156"/>
      <c r="TK14" s="156"/>
      <c r="TL14" s="156"/>
      <c r="TM14" s="156"/>
      <c r="TN14" s="156"/>
      <c r="TO14" s="156"/>
      <c r="TP14" s="156"/>
      <c r="TQ14" s="156"/>
      <c r="TR14" s="156"/>
      <c r="TS14" s="156"/>
      <c r="TT14" s="156"/>
      <c r="TU14" s="156"/>
      <c r="TV14" s="156"/>
      <c r="TW14" s="156"/>
      <c r="TX14" s="156"/>
      <c r="TY14" s="156"/>
      <c r="TZ14" s="156"/>
      <c r="UA14" s="156"/>
      <c r="UB14" s="156"/>
      <c r="UC14" s="156"/>
      <c r="UD14" s="156"/>
      <c r="UE14" s="156"/>
      <c r="UF14" s="156"/>
      <c r="UG14" s="156"/>
      <c r="UH14" s="156"/>
      <c r="UI14" s="156"/>
      <c r="UJ14" s="156"/>
      <c r="UK14" s="156"/>
      <c r="UL14" s="156"/>
      <c r="UM14" s="156"/>
      <c r="UN14" s="156"/>
      <c r="UO14" s="156"/>
      <c r="UP14" s="156"/>
      <c r="UQ14" s="156"/>
      <c r="UR14" s="156"/>
      <c r="US14" s="156"/>
      <c r="UT14" s="156"/>
      <c r="UU14" s="156"/>
      <c r="UV14" s="156"/>
      <c r="UW14" s="156"/>
      <c r="UX14" s="156"/>
      <c r="UY14" s="156"/>
      <c r="UZ14" s="156"/>
      <c r="VA14" s="156"/>
      <c r="VB14" s="156"/>
      <c r="VC14" s="156"/>
      <c r="VD14" s="156"/>
      <c r="VE14" s="156"/>
      <c r="VF14" s="156"/>
      <c r="VG14" s="156"/>
      <c r="VH14" s="156"/>
      <c r="VI14" s="156"/>
      <c r="VJ14" s="156"/>
      <c r="VK14" s="156"/>
      <c r="VL14" s="156"/>
      <c r="VM14" s="156"/>
      <c r="VN14" s="156"/>
      <c r="VO14" s="156"/>
      <c r="VP14" s="156"/>
      <c r="VQ14" s="156"/>
      <c r="VR14" s="156"/>
      <c r="VS14" s="156"/>
      <c r="VT14" s="156"/>
      <c r="VU14" s="156"/>
      <c r="VV14" s="156"/>
      <c r="VW14" s="156"/>
      <c r="VX14" s="156"/>
      <c r="VY14" s="156"/>
      <c r="VZ14" s="156"/>
      <c r="WA14" s="156"/>
      <c r="WB14" s="156"/>
      <c r="WC14" s="156"/>
      <c r="WD14" s="156"/>
      <c r="WE14" s="156"/>
      <c r="WF14" s="156"/>
      <c r="WG14" s="156"/>
      <c r="WH14" s="156"/>
      <c r="WI14" s="156"/>
      <c r="WJ14" s="156"/>
      <c r="WK14" s="156"/>
      <c r="WL14" s="156"/>
      <c r="WM14" s="156"/>
      <c r="WN14" s="156"/>
      <c r="WO14" s="156"/>
      <c r="WP14" s="156"/>
      <c r="WQ14" s="156"/>
      <c r="WR14" s="156"/>
      <c r="WS14" s="156"/>
      <c r="WT14" s="156"/>
      <c r="WU14" s="156"/>
    </row>
    <row r="15" spans="1:619" s="161" customFormat="1" ht="12.75" customHeight="1" x14ac:dyDescent="0.2">
      <c r="A15" s="162" t="s">
        <v>121</v>
      </c>
      <c r="B15" s="163" t="s">
        <v>231</v>
      </c>
      <c r="C15" s="164">
        <v>30</v>
      </c>
      <c r="D15" s="164">
        <v>30</v>
      </c>
      <c r="E15" s="165">
        <v>9</v>
      </c>
      <c r="F15" s="165">
        <v>9</v>
      </c>
      <c r="G15" s="166">
        <f t="shared" ref="G15" si="0">C15*E15</f>
        <v>270</v>
      </c>
      <c r="H15" s="166">
        <f t="shared" ref="H15" si="1">F15*C15</f>
        <v>270</v>
      </c>
      <c r="I15" s="167"/>
      <c r="J15" s="167"/>
      <c r="K15" s="167"/>
      <c r="L15" s="168"/>
      <c r="M15" s="169">
        <f t="shared" ref="M15" si="2">C15*2</f>
        <v>60</v>
      </c>
      <c r="N15" s="181">
        <v>0</v>
      </c>
      <c r="O15" s="170">
        <v>0</v>
      </c>
      <c r="P15" s="165">
        <f t="shared" ref="P15" si="3">C15*2</f>
        <v>60</v>
      </c>
      <c r="Q15" s="170"/>
      <c r="R15" s="304">
        <f t="shared" ref="R15" si="4">C15*2</f>
        <v>60</v>
      </c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</row>
    <row r="16" spans="1:619" s="159" customFormat="1" ht="12.75" customHeight="1" x14ac:dyDescent="0.2">
      <c r="A16" s="147"/>
      <c r="B16" s="171"/>
      <c r="C16" s="172"/>
      <c r="D16" s="172"/>
      <c r="E16" s="155"/>
      <c r="F16" s="155"/>
      <c r="G16" s="144"/>
      <c r="H16" s="144"/>
      <c r="I16" s="152"/>
      <c r="J16" s="152"/>
      <c r="K16" s="152"/>
      <c r="L16" s="153"/>
      <c r="M16" s="154"/>
      <c r="N16" s="154"/>
      <c r="O16" s="157"/>
      <c r="P16" s="155"/>
      <c r="Q16" s="157"/>
      <c r="R16" s="305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  <c r="HZ16" s="156"/>
      <c r="IA16" s="156"/>
      <c r="IB16" s="156"/>
      <c r="IC16" s="156"/>
      <c r="ID16" s="156"/>
      <c r="IE16" s="156"/>
      <c r="IF16" s="156"/>
      <c r="IG16" s="156"/>
      <c r="IH16" s="156"/>
      <c r="II16" s="156"/>
      <c r="IJ16" s="156"/>
      <c r="IK16" s="156"/>
      <c r="IL16" s="156"/>
      <c r="IM16" s="156"/>
      <c r="IN16" s="156"/>
      <c r="IO16" s="156"/>
      <c r="IP16" s="156"/>
      <c r="IQ16" s="156"/>
      <c r="IR16" s="156"/>
      <c r="IS16" s="156"/>
      <c r="IT16" s="156"/>
      <c r="IU16" s="156"/>
      <c r="IV16" s="156"/>
      <c r="IW16" s="156"/>
      <c r="IX16" s="156"/>
      <c r="IY16" s="156"/>
      <c r="IZ16" s="156"/>
      <c r="JA16" s="156"/>
      <c r="JB16" s="156"/>
      <c r="JC16" s="156"/>
      <c r="JD16" s="156"/>
      <c r="JE16" s="156"/>
      <c r="JF16" s="156"/>
      <c r="JG16" s="156"/>
      <c r="JH16" s="156"/>
      <c r="JI16" s="156"/>
      <c r="JJ16" s="156"/>
      <c r="JK16" s="156"/>
      <c r="JL16" s="156"/>
      <c r="JM16" s="156"/>
      <c r="JN16" s="156"/>
      <c r="JO16" s="156"/>
      <c r="JP16" s="156"/>
      <c r="JQ16" s="156"/>
      <c r="JR16" s="156"/>
      <c r="JS16" s="156"/>
      <c r="JT16" s="156"/>
      <c r="JU16" s="156"/>
      <c r="JV16" s="156"/>
      <c r="JW16" s="156"/>
      <c r="JX16" s="156"/>
      <c r="JY16" s="156"/>
      <c r="JZ16" s="156"/>
      <c r="KA16" s="156"/>
      <c r="KB16" s="156"/>
      <c r="KC16" s="156"/>
      <c r="KD16" s="156"/>
      <c r="KE16" s="156"/>
      <c r="KF16" s="156"/>
      <c r="KG16" s="156"/>
      <c r="KH16" s="156"/>
      <c r="KI16" s="156"/>
      <c r="KJ16" s="156"/>
      <c r="KK16" s="156"/>
      <c r="KL16" s="156"/>
      <c r="KM16" s="156"/>
      <c r="KN16" s="156"/>
      <c r="KO16" s="156"/>
      <c r="KP16" s="156"/>
      <c r="KQ16" s="156"/>
      <c r="KR16" s="156"/>
      <c r="KS16" s="156"/>
      <c r="KT16" s="156"/>
      <c r="KU16" s="156"/>
      <c r="KV16" s="156"/>
      <c r="KW16" s="156"/>
      <c r="KX16" s="156"/>
      <c r="KY16" s="156"/>
      <c r="KZ16" s="156"/>
      <c r="LA16" s="156"/>
      <c r="LB16" s="156"/>
      <c r="LC16" s="156"/>
      <c r="LD16" s="156"/>
      <c r="LE16" s="156"/>
      <c r="LF16" s="156"/>
      <c r="LG16" s="156"/>
      <c r="LH16" s="156"/>
      <c r="LI16" s="156"/>
      <c r="LJ16" s="156"/>
      <c r="LK16" s="156"/>
      <c r="LL16" s="156"/>
      <c r="LM16" s="156"/>
      <c r="LN16" s="156"/>
      <c r="LO16" s="156"/>
      <c r="LP16" s="156"/>
      <c r="LQ16" s="156"/>
      <c r="LR16" s="156"/>
      <c r="LS16" s="156"/>
      <c r="LT16" s="156"/>
      <c r="LU16" s="156"/>
      <c r="LV16" s="156"/>
      <c r="LW16" s="156"/>
      <c r="LX16" s="156"/>
      <c r="LY16" s="156"/>
      <c r="LZ16" s="156"/>
      <c r="MA16" s="156"/>
      <c r="MB16" s="156"/>
      <c r="MC16" s="156"/>
      <c r="MD16" s="156"/>
      <c r="ME16" s="156"/>
      <c r="MF16" s="156"/>
      <c r="MG16" s="156"/>
      <c r="MH16" s="156"/>
      <c r="MI16" s="156"/>
      <c r="MJ16" s="156"/>
      <c r="MK16" s="156"/>
      <c r="ML16" s="156"/>
      <c r="MM16" s="156"/>
      <c r="MN16" s="156"/>
      <c r="MO16" s="156"/>
      <c r="MP16" s="156"/>
      <c r="MQ16" s="156"/>
      <c r="MR16" s="156"/>
      <c r="MS16" s="156"/>
      <c r="MT16" s="156"/>
      <c r="MU16" s="156"/>
      <c r="MV16" s="156"/>
      <c r="MW16" s="156"/>
      <c r="MX16" s="156"/>
      <c r="MY16" s="156"/>
      <c r="MZ16" s="156"/>
      <c r="NA16" s="156"/>
      <c r="NB16" s="156"/>
      <c r="NC16" s="156"/>
      <c r="ND16" s="156"/>
      <c r="NE16" s="156"/>
      <c r="NF16" s="156"/>
      <c r="NG16" s="156"/>
      <c r="NH16" s="156"/>
      <c r="NI16" s="156"/>
      <c r="NJ16" s="156"/>
      <c r="NK16" s="156"/>
      <c r="NL16" s="156"/>
      <c r="NM16" s="156"/>
      <c r="NN16" s="156"/>
      <c r="NO16" s="156"/>
      <c r="NP16" s="156"/>
      <c r="NQ16" s="156"/>
      <c r="NR16" s="156"/>
      <c r="NS16" s="156"/>
      <c r="NT16" s="156"/>
      <c r="NU16" s="156"/>
      <c r="NV16" s="156"/>
      <c r="NW16" s="156"/>
      <c r="NX16" s="156"/>
      <c r="NY16" s="156"/>
      <c r="NZ16" s="156"/>
      <c r="OA16" s="156"/>
      <c r="OB16" s="156"/>
      <c r="OC16" s="156"/>
      <c r="OD16" s="156"/>
      <c r="OE16" s="156"/>
      <c r="OF16" s="156"/>
      <c r="OG16" s="156"/>
      <c r="OH16" s="156"/>
      <c r="OI16" s="156"/>
      <c r="OJ16" s="156"/>
      <c r="OK16" s="156"/>
      <c r="OL16" s="156"/>
      <c r="OM16" s="156"/>
      <c r="ON16" s="156"/>
      <c r="OO16" s="156"/>
      <c r="OP16" s="156"/>
      <c r="OQ16" s="156"/>
      <c r="OR16" s="156"/>
      <c r="OS16" s="156"/>
      <c r="OT16" s="156"/>
      <c r="OU16" s="156"/>
      <c r="OV16" s="156"/>
      <c r="OW16" s="156"/>
      <c r="OX16" s="156"/>
      <c r="OY16" s="156"/>
      <c r="OZ16" s="156"/>
      <c r="PA16" s="156"/>
      <c r="PB16" s="156"/>
      <c r="PC16" s="156"/>
      <c r="PD16" s="156"/>
      <c r="PE16" s="156"/>
      <c r="PF16" s="156"/>
      <c r="PG16" s="156"/>
      <c r="PH16" s="156"/>
      <c r="PI16" s="156"/>
      <c r="PJ16" s="156"/>
      <c r="PK16" s="156"/>
      <c r="PL16" s="156"/>
      <c r="PM16" s="156"/>
      <c r="PN16" s="156"/>
      <c r="PO16" s="156"/>
      <c r="PP16" s="156"/>
      <c r="PQ16" s="156"/>
      <c r="PR16" s="156"/>
      <c r="PS16" s="156"/>
      <c r="PT16" s="156"/>
      <c r="PU16" s="156"/>
      <c r="PV16" s="156"/>
      <c r="PW16" s="156"/>
      <c r="PX16" s="156"/>
      <c r="PY16" s="156"/>
      <c r="PZ16" s="156"/>
      <c r="QA16" s="156"/>
      <c r="QB16" s="156"/>
      <c r="QC16" s="156"/>
      <c r="QD16" s="156"/>
      <c r="QE16" s="156"/>
      <c r="QF16" s="156"/>
      <c r="QG16" s="156"/>
      <c r="QH16" s="156"/>
      <c r="QI16" s="156"/>
      <c r="QJ16" s="156"/>
      <c r="QK16" s="156"/>
      <c r="QL16" s="156"/>
      <c r="QM16" s="156"/>
      <c r="QN16" s="156"/>
      <c r="QO16" s="156"/>
      <c r="QP16" s="156"/>
      <c r="QQ16" s="156"/>
      <c r="QR16" s="156"/>
      <c r="QS16" s="156"/>
      <c r="QT16" s="156"/>
      <c r="QU16" s="156"/>
      <c r="QV16" s="156"/>
      <c r="QW16" s="156"/>
      <c r="QX16" s="156"/>
      <c r="QY16" s="156"/>
      <c r="QZ16" s="156"/>
      <c r="RA16" s="156"/>
      <c r="RB16" s="156"/>
      <c r="RC16" s="156"/>
      <c r="RD16" s="156"/>
      <c r="RE16" s="156"/>
      <c r="RF16" s="156"/>
      <c r="RG16" s="156"/>
      <c r="RH16" s="156"/>
      <c r="RI16" s="156"/>
      <c r="RJ16" s="156"/>
      <c r="RK16" s="156"/>
      <c r="RL16" s="156"/>
      <c r="RM16" s="156"/>
      <c r="RN16" s="156"/>
      <c r="RO16" s="156"/>
      <c r="RP16" s="156"/>
      <c r="RQ16" s="156"/>
      <c r="RR16" s="156"/>
      <c r="RS16" s="156"/>
      <c r="RT16" s="156"/>
      <c r="RU16" s="156"/>
      <c r="RV16" s="156"/>
      <c r="RW16" s="156"/>
      <c r="RX16" s="156"/>
      <c r="RY16" s="156"/>
      <c r="RZ16" s="156"/>
      <c r="SA16" s="156"/>
      <c r="SB16" s="156"/>
      <c r="SC16" s="156"/>
      <c r="SD16" s="156"/>
      <c r="SE16" s="156"/>
      <c r="SF16" s="156"/>
      <c r="SG16" s="156"/>
      <c r="SH16" s="156"/>
      <c r="SI16" s="156"/>
      <c r="SJ16" s="156"/>
      <c r="SK16" s="156"/>
      <c r="SL16" s="156"/>
      <c r="SM16" s="156"/>
      <c r="SN16" s="156"/>
      <c r="SO16" s="156"/>
      <c r="SP16" s="156"/>
      <c r="SQ16" s="156"/>
      <c r="SR16" s="156"/>
      <c r="SS16" s="156"/>
      <c r="ST16" s="156"/>
      <c r="SU16" s="156"/>
      <c r="SV16" s="156"/>
      <c r="SW16" s="156"/>
      <c r="SX16" s="156"/>
      <c r="SY16" s="156"/>
      <c r="SZ16" s="156"/>
      <c r="TA16" s="156"/>
      <c r="TB16" s="156"/>
      <c r="TC16" s="156"/>
      <c r="TD16" s="156"/>
      <c r="TE16" s="156"/>
      <c r="TF16" s="156"/>
      <c r="TG16" s="156"/>
      <c r="TH16" s="156"/>
      <c r="TI16" s="156"/>
      <c r="TJ16" s="156"/>
      <c r="TK16" s="156"/>
      <c r="TL16" s="156"/>
      <c r="TM16" s="156"/>
      <c r="TN16" s="156"/>
      <c r="TO16" s="156"/>
      <c r="TP16" s="156"/>
      <c r="TQ16" s="156"/>
      <c r="TR16" s="156"/>
      <c r="TS16" s="156"/>
      <c r="TT16" s="156"/>
      <c r="TU16" s="156"/>
      <c r="TV16" s="156"/>
      <c r="TW16" s="156"/>
      <c r="TX16" s="156"/>
      <c r="TY16" s="156"/>
      <c r="TZ16" s="156"/>
      <c r="UA16" s="156"/>
      <c r="UB16" s="156"/>
      <c r="UC16" s="156"/>
      <c r="UD16" s="156"/>
      <c r="UE16" s="156"/>
      <c r="UF16" s="156"/>
      <c r="UG16" s="156"/>
      <c r="UH16" s="156"/>
      <c r="UI16" s="156"/>
      <c r="UJ16" s="156"/>
      <c r="UK16" s="156"/>
      <c r="UL16" s="156"/>
      <c r="UM16" s="156"/>
      <c r="UN16" s="156"/>
      <c r="UO16" s="156"/>
      <c r="UP16" s="156"/>
      <c r="UQ16" s="156"/>
      <c r="UR16" s="156"/>
      <c r="US16" s="156"/>
      <c r="UT16" s="156"/>
      <c r="UU16" s="156"/>
      <c r="UV16" s="156"/>
      <c r="UW16" s="156"/>
      <c r="UX16" s="156"/>
      <c r="UY16" s="156"/>
      <c r="UZ16" s="156"/>
      <c r="VA16" s="156"/>
      <c r="VB16" s="156"/>
      <c r="VC16" s="156"/>
      <c r="VD16" s="156"/>
      <c r="VE16" s="156"/>
      <c r="VF16" s="156"/>
      <c r="VG16" s="156"/>
      <c r="VH16" s="156"/>
      <c r="VI16" s="156"/>
      <c r="VJ16" s="156"/>
      <c r="VK16" s="156"/>
      <c r="VL16" s="156"/>
      <c r="VM16" s="156"/>
      <c r="VN16" s="156"/>
      <c r="VO16" s="156"/>
      <c r="VP16" s="156"/>
      <c r="VQ16" s="156"/>
      <c r="VR16" s="156"/>
      <c r="VS16" s="156"/>
      <c r="VT16" s="156"/>
      <c r="VU16" s="156"/>
      <c r="VV16" s="156"/>
      <c r="VW16" s="156"/>
      <c r="VX16" s="156"/>
      <c r="VY16" s="156"/>
      <c r="VZ16" s="156"/>
      <c r="WA16" s="156"/>
      <c r="WB16" s="156"/>
      <c r="WC16" s="156"/>
      <c r="WD16" s="156"/>
      <c r="WE16" s="156"/>
      <c r="WF16" s="156"/>
      <c r="WG16" s="156"/>
      <c r="WH16" s="156"/>
      <c r="WI16" s="156"/>
      <c r="WJ16" s="156"/>
      <c r="WK16" s="156"/>
      <c r="WL16" s="156"/>
      <c r="WM16" s="156"/>
      <c r="WN16" s="156"/>
      <c r="WO16" s="156"/>
      <c r="WP16" s="156"/>
      <c r="WQ16" s="156"/>
      <c r="WR16" s="156"/>
      <c r="WS16" s="156"/>
      <c r="WT16" s="156"/>
      <c r="WU16" s="156"/>
    </row>
    <row r="17" spans="1:18" ht="12.75" customHeight="1" x14ac:dyDescent="0.2">
      <c r="A17" s="609" t="s">
        <v>8</v>
      </c>
      <c r="B17" s="610"/>
      <c r="C17" s="611"/>
      <c r="D17" s="293"/>
      <c r="E17" s="615" t="s">
        <v>8</v>
      </c>
      <c r="F17" s="616"/>
      <c r="G17" s="41">
        <f>SUM(G11:G16)</f>
        <v>4048.2</v>
      </c>
      <c r="H17" s="160">
        <f t="shared" ref="H17:R17" si="5">SUM(H11:H16)</f>
        <v>3660.2</v>
      </c>
      <c r="I17" s="41">
        <f t="shared" si="5"/>
        <v>3</v>
      </c>
      <c r="J17" s="160">
        <f t="shared" si="5"/>
        <v>2</v>
      </c>
      <c r="K17" s="41">
        <f t="shared" si="5"/>
        <v>25.89</v>
      </c>
      <c r="L17" s="160">
        <f t="shared" si="5"/>
        <v>18</v>
      </c>
      <c r="M17" s="41">
        <f t="shared" si="5"/>
        <v>883.8</v>
      </c>
      <c r="N17" s="182">
        <f t="shared" si="5"/>
        <v>0</v>
      </c>
      <c r="O17" s="41">
        <f t="shared" si="5"/>
        <v>88</v>
      </c>
      <c r="P17" s="160">
        <f t="shared" si="5"/>
        <v>851.8</v>
      </c>
      <c r="Q17" s="297">
        <f t="shared" si="5"/>
        <v>88</v>
      </c>
      <c r="R17" s="309">
        <f t="shared" si="5"/>
        <v>719.8</v>
      </c>
    </row>
    <row r="18" spans="1:18" ht="13.5" thickBot="1" x14ac:dyDescent="0.25">
      <c r="A18" s="612"/>
      <c r="B18" s="613"/>
      <c r="C18" s="614"/>
      <c r="D18" s="294"/>
      <c r="E18" s="607"/>
      <c r="F18" s="608"/>
      <c r="G18" s="175"/>
      <c r="H18" s="44"/>
      <c r="I18" s="175"/>
      <c r="J18" s="44"/>
      <c r="K18" s="175"/>
      <c r="L18" s="44"/>
      <c r="M18" s="601" t="s">
        <v>117</v>
      </c>
      <c r="N18" s="602"/>
      <c r="O18" s="288">
        <f>M17-N17-O17</f>
        <v>795.8</v>
      </c>
      <c r="P18" s="300" t="s">
        <v>119</v>
      </c>
      <c r="Q18" s="301">
        <f>P17-Q17</f>
        <v>763.8</v>
      </c>
      <c r="R18" s="308"/>
    </row>
    <row r="20" spans="1:18" ht="15.75" x14ac:dyDescent="0.25">
      <c r="L20" s="129"/>
      <c r="N20" s="24"/>
      <c r="O20" s="24"/>
      <c r="P20" s="24"/>
      <c r="Q20" s="24"/>
      <c r="R20" s="24"/>
    </row>
    <row r="21" spans="1:18" ht="15.75" x14ac:dyDescent="0.25">
      <c r="B21" s="131"/>
      <c r="L21" s="129"/>
      <c r="N21" s="25"/>
      <c r="O21" s="25"/>
      <c r="P21" s="25"/>
      <c r="Q21" s="25"/>
      <c r="R21" s="25"/>
    </row>
    <row r="22" spans="1:18" x14ac:dyDescent="0.2">
      <c r="C22" s="141"/>
      <c r="N22" s="130"/>
      <c r="O22" s="130"/>
      <c r="Q22" s="130"/>
      <c r="R22" s="130"/>
    </row>
    <row r="23" spans="1:18" ht="15.75" x14ac:dyDescent="0.25">
      <c r="C23" s="141"/>
      <c r="L23" s="129"/>
    </row>
    <row r="24" spans="1:18" ht="15.75" x14ac:dyDescent="0.25">
      <c r="C24" s="141"/>
      <c r="L24" s="129"/>
    </row>
    <row r="25" spans="1:18" x14ac:dyDescent="0.2">
      <c r="C25" s="141"/>
    </row>
    <row r="31" spans="1:18" x14ac:dyDescent="0.2">
      <c r="C31" s="141"/>
    </row>
    <row r="32" spans="1:18" x14ac:dyDescent="0.2">
      <c r="C32" s="141"/>
    </row>
    <row r="33" spans="3:3" x14ac:dyDescent="0.2">
      <c r="C33" s="141"/>
    </row>
    <row r="34" spans="3:3" x14ac:dyDescent="0.2">
      <c r="C34" s="141"/>
    </row>
    <row r="35" spans="3:3" x14ac:dyDescent="0.2">
      <c r="C35" s="141"/>
    </row>
    <row r="36" spans="3:3" x14ac:dyDescent="0.2">
      <c r="C36" s="141"/>
    </row>
    <row r="37" spans="3:3" x14ac:dyDescent="0.2">
      <c r="C37" s="141"/>
    </row>
    <row r="38" spans="3:3" x14ac:dyDescent="0.2">
      <c r="C38" s="141"/>
    </row>
  </sheetData>
  <mergeCells count="7">
    <mergeCell ref="M18:N18"/>
    <mergeCell ref="A1:J1"/>
    <mergeCell ref="A7:J7"/>
    <mergeCell ref="B3:F3"/>
    <mergeCell ref="E18:F18"/>
    <mergeCell ref="A17:C18"/>
    <mergeCell ref="E17:F1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84" zoomScaleNormal="84" workbookViewId="0">
      <pane ySplit="9" topLeftCell="A16" activePane="bottomLeft" state="frozen"/>
      <selection pane="bottomLeft" activeCell="F35" sqref="F35"/>
    </sheetView>
  </sheetViews>
  <sheetFormatPr defaultRowHeight="12.75" x14ac:dyDescent="0.2"/>
  <cols>
    <col min="1" max="1" width="7.7109375" style="2" customWidth="1"/>
    <col min="2" max="2" width="73.140625" style="2" customWidth="1"/>
    <col min="3" max="3" width="9.7109375" style="2" customWidth="1"/>
    <col min="4" max="4" width="12" style="2" customWidth="1"/>
    <col min="5" max="5" width="8" style="2" customWidth="1"/>
    <col min="6" max="6" width="14.85546875" style="2" customWidth="1"/>
    <col min="7" max="8" width="9.42578125" style="2" customWidth="1"/>
    <col min="9" max="9" width="19" style="2" customWidth="1"/>
    <col min="10" max="10" width="12.7109375" style="2" customWidth="1"/>
    <col min="11" max="11" width="17" style="2" customWidth="1"/>
    <col min="12" max="12" width="12" style="2" customWidth="1"/>
    <col min="13" max="13" width="14.28515625" style="2" customWidth="1"/>
    <col min="14" max="14" width="9.7109375" style="2" customWidth="1"/>
    <col min="15" max="15" width="13.140625" style="2" customWidth="1"/>
    <col min="16" max="16" width="17.7109375" style="2" customWidth="1"/>
    <col min="17" max="17" width="39.42578125" style="1" customWidth="1"/>
    <col min="18" max="18" width="11.42578125" style="1" hidden="1" customWidth="1"/>
    <col min="19" max="19" width="3.7109375" style="1" hidden="1" customWidth="1"/>
    <col min="20" max="23" width="11.42578125" style="2" hidden="1" customWidth="1"/>
    <col min="24" max="16384" width="9.140625" style="2"/>
  </cols>
  <sheetData>
    <row r="1" spans="1:23" ht="15" x14ac:dyDescent="0.2">
      <c r="A1" s="617" t="s">
        <v>104</v>
      </c>
      <c r="B1" s="618"/>
      <c r="C1" s="618"/>
      <c r="D1" s="618"/>
      <c r="E1" s="618"/>
      <c r="F1" s="618"/>
      <c r="G1" s="619"/>
      <c r="H1" s="619"/>
      <c r="I1" s="619"/>
      <c r="J1" s="619"/>
      <c r="K1" s="619"/>
      <c r="L1" s="619"/>
      <c r="M1" s="619"/>
      <c r="N1" s="619"/>
      <c r="O1" s="619"/>
      <c r="P1" s="620"/>
      <c r="Q1" s="3"/>
      <c r="R1" s="3"/>
      <c r="S1" s="3"/>
    </row>
    <row r="2" spans="1:23" ht="8.1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</row>
    <row r="3" spans="1:23" ht="25.5" customHeight="1" x14ac:dyDescent="0.2">
      <c r="A3" s="7"/>
      <c r="B3" s="606" t="str">
        <f>'RELAÇÃO DE RUAS '!B3:F3</f>
        <v>Obra: PAVIMENTAÇÃO ASFÁLTICA</v>
      </c>
      <c r="C3" s="606"/>
      <c r="D3" s="606"/>
      <c r="E3" s="606"/>
      <c r="F3" s="6"/>
      <c r="G3" s="6"/>
      <c r="H3" s="6"/>
      <c r="I3" s="6"/>
      <c r="J3" s="6"/>
      <c r="K3" s="6"/>
      <c r="L3" s="6"/>
      <c r="M3" s="6"/>
      <c r="N3" s="6"/>
      <c r="O3" s="9" t="s">
        <v>126</v>
      </c>
      <c r="P3" s="180">
        <f ca="1">TODAY()</f>
        <v>43990</v>
      </c>
      <c r="Q3" s="10"/>
      <c r="R3" s="10"/>
      <c r="S3" s="10"/>
    </row>
    <row r="4" spans="1:23" ht="8.1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2"/>
      <c r="Q4" s="10"/>
      <c r="R4" s="10"/>
      <c r="S4" s="10"/>
    </row>
    <row r="5" spans="1:23" x14ac:dyDescent="0.2">
      <c r="A5" s="7"/>
      <c r="B5" s="13" t="str">
        <f>'RELAÇÃO DE RUAS '!B5</f>
        <v>Local: RUA ANTÔNIO LIMA - BAIRRO BELA VISTA</v>
      </c>
      <c r="C5" s="1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10"/>
      <c r="R5" s="10"/>
      <c r="S5" s="10"/>
    </row>
    <row r="6" spans="1:23" ht="8.1" customHeight="1" thickBot="1" x14ac:dyDescent="0.25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5"/>
    </row>
    <row r="7" spans="1:23" ht="13.5" thickBot="1" x14ac:dyDescent="0.25">
      <c r="A7" s="621" t="s">
        <v>10</v>
      </c>
      <c r="B7" s="622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3"/>
      <c r="Q7" s="16"/>
      <c r="R7" s="16"/>
      <c r="S7" s="16"/>
    </row>
    <row r="8" spans="1:23" ht="8.1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5"/>
    </row>
    <row r="9" spans="1:23" ht="38.25" x14ac:dyDescent="0.2">
      <c r="A9" s="19" t="s">
        <v>0</v>
      </c>
      <c r="B9" s="101" t="s">
        <v>11</v>
      </c>
      <c r="C9" s="101" t="s">
        <v>28</v>
      </c>
      <c r="D9" s="101" t="s">
        <v>12</v>
      </c>
      <c r="E9" s="101" t="s">
        <v>13</v>
      </c>
      <c r="F9" s="101" t="s">
        <v>14</v>
      </c>
      <c r="G9" s="101" t="s">
        <v>15</v>
      </c>
      <c r="H9" s="101" t="s">
        <v>6</v>
      </c>
      <c r="I9" s="101" t="s">
        <v>86</v>
      </c>
      <c r="J9" s="101" t="s">
        <v>16</v>
      </c>
      <c r="K9" s="101" t="s">
        <v>17</v>
      </c>
      <c r="L9" s="101" t="s">
        <v>18</v>
      </c>
      <c r="M9" s="101" t="s">
        <v>25</v>
      </c>
      <c r="N9" s="101" t="s">
        <v>19</v>
      </c>
      <c r="O9" s="102" t="s">
        <v>21</v>
      </c>
      <c r="P9" s="102" t="s">
        <v>20</v>
      </c>
      <c r="Q9" s="20"/>
      <c r="R9" s="20"/>
      <c r="S9" s="20"/>
    </row>
    <row r="10" spans="1:23" x14ac:dyDescent="0.2">
      <c r="A10" s="273">
        <v>1</v>
      </c>
      <c r="B10" s="287" t="s">
        <v>94</v>
      </c>
      <c r="C10" s="274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275"/>
      <c r="P10" s="276"/>
      <c r="Q10" s="20"/>
      <c r="R10" s="20"/>
      <c r="S10" s="20"/>
    </row>
    <row r="11" spans="1:23" ht="36" customHeight="1" x14ac:dyDescent="0.2">
      <c r="A11" s="100" t="s">
        <v>2</v>
      </c>
      <c r="B11" s="106" t="s">
        <v>103</v>
      </c>
      <c r="C11" s="107">
        <v>1</v>
      </c>
      <c r="D11" s="108">
        <v>2</v>
      </c>
      <c r="E11" s="108">
        <v>1.25</v>
      </c>
      <c r="F11" s="224">
        <f>ROUND(D11*E11,2)</f>
        <v>2.5</v>
      </c>
      <c r="G11" s="109"/>
      <c r="H11" s="109"/>
      <c r="I11" s="109"/>
      <c r="J11" s="109"/>
      <c r="K11" s="109"/>
      <c r="L11" s="109"/>
      <c r="M11" s="109"/>
      <c r="N11" s="109"/>
      <c r="O11" s="110"/>
      <c r="P11" s="111"/>
      <c r="Q11" s="20"/>
      <c r="R11" s="20"/>
      <c r="S11" s="20"/>
    </row>
    <row r="12" spans="1:23" ht="12.75" customHeight="1" x14ac:dyDescent="0.2">
      <c r="A12" s="116"/>
      <c r="B12" s="112"/>
      <c r="C12" s="10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21"/>
      <c r="P12" s="23"/>
      <c r="Q12" s="22"/>
      <c r="R12" s="22"/>
      <c r="S12" s="22"/>
    </row>
    <row r="13" spans="1:23" ht="16.5" customHeight="1" x14ac:dyDescent="0.2">
      <c r="A13" s="148">
        <v>2</v>
      </c>
      <c r="B13" s="265" t="s">
        <v>90</v>
      </c>
      <c r="C13" s="272"/>
      <c r="D13" s="272"/>
      <c r="E13" s="272"/>
      <c r="F13" s="268"/>
      <c r="G13" s="268"/>
      <c r="H13" s="268"/>
      <c r="I13" s="268"/>
      <c r="J13" s="268"/>
      <c r="K13" s="268"/>
      <c r="L13" s="268"/>
      <c r="M13" s="268"/>
      <c r="N13" s="268"/>
      <c r="O13" s="271"/>
      <c r="P13" s="271"/>
      <c r="Q13" s="22"/>
      <c r="R13" s="22"/>
      <c r="S13" s="22"/>
    </row>
    <row r="14" spans="1:23" ht="36.75" customHeight="1" x14ac:dyDescent="0.2">
      <c r="A14" s="117" t="s">
        <v>3</v>
      </c>
      <c r="B14" s="97" t="s">
        <v>84</v>
      </c>
      <c r="C14" s="109"/>
      <c r="D14" s="41"/>
      <c r="E14" s="41"/>
      <c r="F14" s="26">
        <f>'RELAÇÃO DE RUAS '!G17</f>
        <v>4048.2</v>
      </c>
      <c r="G14" s="122"/>
      <c r="H14" s="122"/>
      <c r="I14" s="41"/>
      <c r="J14" s="41"/>
      <c r="K14" s="41"/>
      <c r="L14" s="41"/>
      <c r="M14" s="41"/>
      <c r="N14" s="41"/>
      <c r="O14" s="41"/>
      <c r="P14" s="123"/>
      <c r="Q14" s="22"/>
      <c r="R14" s="22">
        <v>1.42</v>
      </c>
      <c r="S14" s="22"/>
      <c r="T14" s="27"/>
    </row>
    <row r="15" spans="1:23" ht="37.5" customHeight="1" x14ac:dyDescent="0.2">
      <c r="A15" s="117" t="s">
        <v>22</v>
      </c>
      <c r="B15" s="97" t="s">
        <v>85</v>
      </c>
      <c r="C15" s="113"/>
      <c r="D15" s="124"/>
      <c r="E15" s="41"/>
      <c r="F15" s="41">
        <f>F14</f>
        <v>4048.2</v>
      </c>
      <c r="G15" s="41">
        <v>0.15</v>
      </c>
      <c r="H15" s="41"/>
      <c r="I15" s="41"/>
      <c r="J15" s="26">
        <f>ROUND(F15*G15,2)</f>
        <v>607.23</v>
      </c>
      <c r="K15" s="41"/>
      <c r="L15" s="41"/>
      <c r="M15" s="41"/>
      <c r="N15" s="41"/>
      <c r="O15" s="41"/>
      <c r="P15" s="23"/>
      <c r="Q15" s="22"/>
      <c r="R15" s="22"/>
      <c r="S15" s="22"/>
    </row>
    <row r="16" spans="1:23" ht="45.75" customHeight="1" x14ac:dyDescent="0.2">
      <c r="A16" s="117" t="s">
        <v>33</v>
      </c>
      <c r="B16" s="105" t="s">
        <v>105</v>
      </c>
      <c r="C16" s="113"/>
      <c r="D16" s="124"/>
      <c r="E16" s="41"/>
      <c r="F16" s="41"/>
      <c r="G16" s="122"/>
      <c r="H16" s="122"/>
      <c r="I16" s="122"/>
      <c r="J16" s="45">
        <f>J15</f>
        <v>607.23</v>
      </c>
      <c r="K16" s="41"/>
      <c r="L16" s="45"/>
      <c r="M16" s="45"/>
      <c r="N16" s="41">
        <v>6</v>
      </c>
      <c r="O16" s="26">
        <f>ROUND(J16*N16,2)</f>
        <v>3643.38</v>
      </c>
      <c r="P16" s="23"/>
      <c r="R16" s="30"/>
      <c r="S16" s="30"/>
      <c r="T16" s="31"/>
      <c r="U16" s="32"/>
      <c r="V16" s="33"/>
      <c r="W16" s="33"/>
    </row>
    <row r="17" spans="1:23" ht="24" customHeight="1" x14ac:dyDescent="0.2">
      <c r="A17" s="117" t="s">
        <v>96</v>
      </c>
      <c r="B17" s="97" t="s">
        <v>87</v>
      </c>
      <c r="C17" s="113"/>
      <c r="D17" s="124"/>
      <c r="E17" s="41"/>
      <c r="F17" s="26">
        <f>'RELAÇÃO DE RUAS '!G17</f>
        <v>4048.2</v>
      </c>
      <c r="G17" s="122"/>
      <c r="H17" s="122"/>
      <c r="I17" s="122"/>
      <c r="J17" s="45"/>
      <c r="K17" s="41"/>
      <c r="L17" s="41"/>
      <c r="M17" s="45"/>
      <c r="N17" s="41"/>
      <c r="O17" s="121"/>
      <c r="P17" s="23"/>
      <c r="S17" s="34"/>
      <c r="T17" s="1"/>
      <c r="U17" s="35"/>
      <c r="V17" s="36"/>
      <c r="W17" s="29"/>
    </row>
    <row r="18" spans="1:23" ht="20.25" customHeight="1" x14ac:dyDescent="0.2">
      <c r="A18" s="117" t="s">
        <v>97</v>
      </c>
      <c r="B18" s="97" t="s">
        <v>88</v>
      </c>
      <c r="C18" s="113"/>
      <c r="D18" s="124"/>
      <c r="E18" s="41"/>
      <c r="F18" s="26">
        <f>'RELAÇÃO DE RUAS '!H17</f>
        <v>3660.2</v>
      </c>
      <c r="G18" s="125"/>
      <c r="H18" s="125"/>
      <c r="I18" s="125"/>
      <c r="J18" s="45"/>
      <c r="K18" s="45"/>
      <c r="L18" s="45"/>
      <c r="M18" s="45"/>
      <c r="N18" s="45"/>
      <c r="O18" s="95"/>
      <c r="P18" s="47"/>
      <c r="R18" s="30"/>
      <c r="S18" s="30"/>
      <c r="T18" s="31"/>
      <c r="U18" s="32"/>
      <c r="V18" s="33"/>
      <c r="W18" s="33"/>
    </row>
    <row r="19" spans="1:23" ht="36.75" customHeight="1" x14ac:dyDescent="0.2">
      <c r="A19" s="117" t="s">
        <v>98</v>
      </c>
      <c r="B19" s="222" t="s">
        <v>195</v>
      </c>
      <c r="C19" s="113"/>
      <c r="D19" s="124"/>
      <c r="E19" s="41"/>
      <c r="F19" s="45">
        <f>F18</f>
        <v>3660.2</v>
      </c>
      <c r="G19" s="125">
        <v>0.03</v>
      </c>
      <c r="H19" s="125"/>
      <c r="I19" s="125"/>
      <c r="J19" s="45">
        <f>ROUND(F19*G19,2)</f>
        <v>109.81</v>
      </c>
      <c r="K19" s="45">
        <v>2.4</v>
      </c>
      <c r="L19" s="26">
        <f>ROUND(J19*K19,2)</f>
        <v>263.54000000000002</v>
      </c>
      <c r="M19" s="45"/>
      <c r="N19" s="45"/>
      <c r="O19" s="95"/>
      <c r="P19" s="47"/>
      <c r="T19" s="34"/>
      <c r="U19" s="35"/>
      <c r="V19" s="36"/>
      <c r="W19" s="43"/>
    </row>
    <row r="20" spans="1:23" ht="26.25" customHeight="1" x14ac:dyDescent="0.2">
      <c r="A20" s="117" t="s">
        <v>99</v>
      </c>
      <c r="B20" s="97" t="s">
        <v>89</v>
      </c>
      <c r="C20" s="113"/>
      <c r="D20" s="124"/>
      <c r="E20" s="41"/>
      <c r="F20" s="45"/>
      <c r="G20" s="125"/>
      <c r="H20" s="125"/>
      <c r="I20" s="125"/>
      <c r="J20" s="45"/>
      <c r="K20" s="45"/>
      <c r="L20" s="45">
        <f>L19</f>
        <v>263.54000000000002</v>
      </c>
      <c r="M20" s="45"/>
      <c r="N20" s="45">
        <v>100</v>
      </c>
      <c r="O20" s="95"/>
      <c r="P20" s="28">
        <f>ROUND(L20*N20,2)</f>
        <v>26354</v>
      </c>
      <c r="T20" s="34"/>
      <c r="U20" s="35"/>
      <c r="V20" s="36"/>
      <c r="W20" s="43"/>
    </row>
    <row r="21" spans="1:23" ht="20.25" customHeight="1" x14ac:dyDescent="0.2">
      <c r="A21" s="264">
        <v>3</v>
      </c>
      <c r="B21" s="265" t="s">
        <v>91</v>
      </c>
      <c r="C21" s="266"/>
      <c r="D21" s="267"/>
      <c r="E21" s="268"/>
      <c r="F21" s="268"/>
      <c r="G21" s="269"/>
      <c r="H21" s="269"/>
      <c r="I21" s="269"/>
      <c r="J21" s="268"/>
      <c r="K21" s="268"/>
      <c r="L21" s="268"/>
      <c r="M21" s="268"/>
      <c r="N21" s="268"/>
      <c r="O21" s="270"/>
      <c r="P21" s="271"/>
      <c r="T21" s="34"/>
      <c r="U21" s="35"/>
      <c r="V21" s="36"/>
      <c r="W21" s="29"/>
    </row>
    <row r="22" spans="1:23" ht="51" x14ac:dyDescent="0.2">
      <c r="A22" s="40" t="s">
        <v>5</v>
      </c>
      <c r="B22" s="98" t="s">
        <v>123</v>
      </c>
      <c r="C22" s="109"/>
      <c r="D22" s="26">
        <f>'RELAÇÃO DE RUAS '!O18</f>
        <v>795.8</v>
      </c>
      <c r="E22" s="41"/>
      <c r="F22" s="45"/>
      <c r="G22" s="122"/>
      <c r="H22" s="122"/>
      <c r="I22" s="122"/>
      <c r="J22" s="45"/>
      <c r="K22" s="41"/>
      <c r="L22" s="45"/>
      <c r="M22" s="45"/>
      <c r="N22" s="41"/>
      <c r="O22" s="41"/>
      <c r="P22" s="23"/>
      <c r="R22" s="30"/>
      <c r="S22" s="30"/>
      <c r="T22" s="31"/>
      <c r="U22" s="32"/>
      <c r="V22" s="33"/>
      <c r="W22" s="33"/>
    </row>
    <row r="23" spans="1:23" ht="28.5" customHeight="1" x14ac:dyDescent="0.2">
      <c r="A23" s="40" t="s">
        <v>26</v>
      </c>
      <c r="B23" s="98" t="s">
        <v>124</v>
      </c>
      <c r="C23" s="109"/>
      <c r="D23" s="26">
        <f>'RELAÇÃO DE RUAS '!Q18</f>
        <v>763.8</v>
      </c>
      <c r="E23" s="109"/>
      <c r="F23" s="45"/>
      <c r="G23" s="122"/>
      <c r="H23" s="122"/>
      <c r="I23" s="122"/>
      <c r="J23" s="45"/>
      <c r="K23" s="41"/>
      <c r="L23" s="45"/>
      <c r="M23" s="45"/>
      <c r="N23" s="41"/>
      <c r="O23" s="41"/>
      <c r="P23" s="23"/>
      <c r="T23" s="34"/>
      <c r="U23" s="35"/>
      <c r="V23" s="36"/>
      <c r="W23" s="29"/>
    </row>
    <row r="24" spans="1:23" x14ac:dyDescent="0.2">
      <c r="A24" s="264">
        <v>4</v>
      </c>
      <c r="B24" s="265" t="s">
        <v>93</v>
      </c>
      <c r="C24" s="265"/>
      <c r="D24" s="268"/>
      <c r="E24" s="265"/>
      <c r="F24" s="268"/>
      <c r="G24" s="269"/>
      <c r="H24" s="269"/>
      <c r="I24" s="269"/>
      <c r="J24" s="268"/>
      <c r="K24" s="268"/>
      <c r="L24" s="268"/>
      <c r="M24" s="268"/>
      <c r="N24" s="268"/>
      <c r="O24" s="268"/>
      <c r="P24" s="271"/>
      <c r="T24" s="34"/>
      <c r="U24" s="35"/>
      <c r="V24" s="36"/>
      <c r="W24" s="29"/>
    </row>
    <row r="25" spans="1:23" ht="36" customHeight="1" x14ac:dyDescent="0.2">
      <c r="A25" s="40" t="s">
        <v>23</v>
      </c>
      <c r="B25" s="223" t="s">
        <v>191</v>
      </c>
      <c r="C25" s="115">
        <f>'RELAÇÃO DE RUAS '!J17</f>
        <v>2</v>
      </c>
      <c r="D25" s="41"/>
      <c r="E25" s="41"/>
      <c r="F25" s="45"/>
      <c r="G25" s="122"/>
      <c r="H25" s="122"/>
      <c r="I25" s="122"/>
      <c r="J25" s="45"/>
      <c r="K25" s="41"/>
      <c r="L25" s="45"/>
      <c r="M25" s="45"/>
      <c r="N25" s="41"/>
      <c r="O25" s="41"/>
      <c r="P25" s="23"/>
      <c r="R25" s="30"/>
      <c r="S25" s="30"/>
      <c r="T25" s="31"/>
      <c r="U25" s="32"/>
      <c r="V25" s="33"/>
      <c r="W25" s="33"/>
    </row>
    <row r="26" spans="1:23" ht="42" customHeight="1" thickBot="1" x14ac:dyDescent="0.25">
      <c r="A26" s="40" t="s">
        <v>32</v>
      </c>
      <c r="B26" s="114" t="s">
        <v>122</v>
      </c>
      <c r="C26" s="109"/>
      <c r="D26" s="41"/>
      <c r="E26" s="41"/>
      <c r="F26" s="26">
        <f>'RELAÇÃO DE RUAS '!K17</f>
        <v>25.89</v>
      </c>
      <c r="G26" s="122"/>
      <c r="H26" s="122"/>
      <c r="I26" s="122"/>
      <c r="J26" s="45"/>
      <c r="K26" s="41"/>
      <c r="L26" s="45"/>
      <c r="M26" s="45"/>
      <c r="N26" s="41"/>
      <c r="O26" s="41"/>
      <c r="P26" s="23"/>
      <c r="T26" s="1"/>
    </row>
    <row r="27" spans="1:23" ht="51.75" thickBot="1" x14ac:dyDescent="0.25">
      <c r="A27" s="40" t="s">
        <v>31</v>
      </c>
      <c r="B27" s="223" t="s">
        <v>192</v>
      </c>
      <c r="C27" s="115">
        <f>'RELAÇÃO DE RUAS '!I17</f>
        <v>3</v>
      </c>
      <c r="D27" s="109"/>
      <c r="E27" s="109"/>
      <c r="F27" s="41"/>
      <c r="G27" s="122"/>
      <c r="H27" s="122"/>
      <c r="I27" s="122"/>
      <c r="J27" s="45"/>
      <c r="K27" s="41"/>
      <c r="L27" s="45"/>
      <c r="M27" s="45"/>
      <c r="N27" s="41"/>
      <c r="O27" s="41"/>
      <c r="P27" s="23"/>
      <c r="Q27" s="46"/>
      <c r="R27" s="37"/>
      <c r="S27" s="37"/>
      <c r="T27" s="37"/>
      <c r="U27" s="38"/>
      <c r="V27" s="38"/>
      <c r="W27" s="39"/>
    </row>
    <row r="28" spans="1:23" x14ac:dyDescent="0.2">
      <c r="A28" s="277">
        <v>5</v>
      </c>
      <c r="B28" s="278" t="s">
        <v>100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80"/>
      <c r="P28" s="281"/>
      <c r="Q28" s="2"/>
      <c r="R28" s="2"/>
      <c r="S28" s="2"/>
    </row>
    <row r="29" spans="1:23" ht="37.5" customHeight="1" x14ac:dyDescent="0.2">
      <c r="A29" s="282" t="s">
        <v>27</v>
      </c>
      <c r="B29" s="283" t="s">
        <v>190</v>
      </c>
      <c r="C29" s="284">
        <f>'RELAÇÃO DE RUAS '!R17</f>
        <v>719.8</v>
      </c>
      <c r="D29" s="229"/>
      <c r="E29" s="229">
        <v>1.5</v>
      </c>
      <c r="F29" s="229">
        <f>C29*E29</f>
        <v>1079.6999999999998</v>
      </c>
      <c r="G29" s="229">
        <v>7.0000000000000007E-2</v>
      </c>
      <c r="H29" s="229"/>
      <c r="I29" s="229"/>
      <c r="J29" s="310">
        <f>F29*G29</f>
        <v>75.578999999999994</v>
      </c>
      <c r="K29" s="229"/>
      <c r="L29" s="229"/>
      <c r="M29" s="229"/>
      <c r="N29" s="229"/>
      <c r="O29" s="285"/>
      <c r="P29" s="286"/>
      <c r="Q29" s="2"/>
      <c r="R29" s="2"/>
      <c r="S29" s="2"/>
    </row>
    <row r="30" spans="1:23" ht="45" customHeight="1" thickBot="1" x14ac:dyDescent="0.25">
      <c r="A30" s="118" t="s">
        <v>92</v>
      </c>
      <c r="B30" s="119" t="s">
        <v>210</v>
      </c>
      <c r="C30" s="120"/>
      <c r="D30" s="126" t="s">
        <v>211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  <c r="P30" s="128"/>
      <c r="Q30" s="2"/>
      <c r="R30" s="2"/>
      <c r="S30" s="2"/>
    </row>
    <row r="32" spans="1:23" s="142" customForma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Q32" s="1"/>
      <c r="R32" s="1"/>
      <c r="S32" s="1"/>
    </row>
    <row r="33" spans="3:12" x14ac:dyDescent="0.2"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3:12" ht="18" x14ac:dyDescent="0.2">
      <c r="C34" s="311"/>
      <c r="D34" s="311"/>
      <c r="E34" s="311"/>
      <c r="F34" s="312"/>
      <c r="G34" s="5"/>
      <c r="H34" s="311"/>
      <c r="I34" s="311"/>
      <c r="J34" s="312"/>
      <c r="K34" s="5"/>
      <c r="L34" s="5"/>
    </row>
    <row r="35" spans="3:12" x14ac:dyDescent="0.2">
      <c r="C35" s="311"/>
      <c r="D35" s="311"/>
      <c r="E35" s="311"/>
      <c r="F35" s="311"/>
      <c r="G35" s="5"/>
      <c r="H35" s="311"/>
      <c r="I35" s="311"/>
      <c r="J35" s="311"/>
      <c r="K35" s="5"/>
      <c r="L35" s="5"/>
    </row>
    <row r="36" spans="3:12" x14ac:dyDescent="0.2">
      <c r="C36" s="311"/>
      <c r="D36" s="311"/>
      <c r="E36" s="311"/>
      <c r="F36" s="311"/>
      <c r="G36" s="5"/>
      <c r="H36" s="311"/>
      <c r="I36" s="311"/>
      <c r="J36" s="311"/>
      <c r="K36" s="5"/>
      <c r="L36" s="5"/>
    </row>
    <row r="37" spans="3:12" x14ac:dyDescent="0.2"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3:12" x14ac:dyDescent="0.2">
      <c r="C38" s="5"/>
      <c r="D38" s="5"/>
      <c r="E38" s="5"/>
      <c r="F38" s="5"/>
      <c r="G38" s="5"/>
      <c r="H38" s="5"/>
      <c r="I38" s="5"/>
      <c r="J38" s="5"/>
      <c r="K38" s="5"/>
      <c r="L38" s="5"/>
    </row>
  </sheetData>
  <mergeCells count="3">
    <mergeCell ref="A1:P1"/>
    <mergeCell ref="B3:E3"/>
    <mergeCell ref="A7:P7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E15" sqref="E15"/>
    </sheetView>
  </sheetViews>
  <sheetFormatPr defaultRowHeight="12.75" x14ac:dyDescent="0.2"/>
  <cols>
    <col min="3" max="3" width="28.42578125" customWidth="1"/>
    <col min="4" max="4" width="12.28515625" customWidth="1"/>
    <col min="5" max="5" width="15.7109375" customWidth="1"/>
    <col min="6" max="6" width="13.28515625" customWidth="1"/>
    <col min="7" max="7" width="13.5703125" customWidth="1"/>
    <col min="8" max="8" width="13.42578125" customWidth="1"/>
  </cols>
  <sheetData>
    <row r="1" spans="1:8" x14ac:dyDescent="0.2">
      <c r="A1" s="141"/>
      <c r="B1" s="317"/>
      <c r="C1" s="317"/>
      <c r="D1" s="318"/>
      <c r="E1" s="318"/>
      <c r="F1" s="317"/>
      <c r="G1" s="317"/>
      <c r="H1" s="317"/>
    </row>
    <row r="2" spans="1:8" ht="13.5" thickBot="1" x14ac:dyDescent="0.25">
      <c r="A2" s="652"/>
      <c r="B2" s="653"/>
      <c r="C2" s="653"/>
      <c r="D2" s="653"/>
      <c r="E2" s="653"/>
      <c r="F2" s="653"/>
      <c r="G2" s="653"/>
      <c r="H2" s="653"/>
    </row>
    <row r="3" spans="1:8" ht="15.75" x14ac:dyDescent="0.25">
      <c r="A3" s="654"/>
      <c r="B3" s="654"/>
      <c r="C3" s="654"/>
      <c r="D3" s="654"/>
      <c r="E3" s="654"/>
      <c r="F3" s="654"/>
      <c r="G3" s="654"/>
      <c r="H3" s="654"/>
    </row>
    <row r="4" spans="1:8" x14ac:dyDescent="0.2">
      <c r="A4" s="317"/>
      <c r="B4" s="317"/>
      <c r="C4" s="317"/>
      <c r="D4" s="318"/>
      <c r="E4" s="318"/>
      <c r="F4" s="317"/>
      <c r="G4" s="317"/>
      <c r="H4" s="317"/>
    </row>
    <row r="5" spans="1:8" ht="13.5" thickBot="1" x14ac:dyDescent="0.25">
      <c r="A5" s="652" t="s">
        <v>215</v>
      </c>
      <c r="B5" s="653"/>
      <c r="C5" s="653"/>
      <c r="D5" s="653"/>
      <c r="E5" s="653"/>
      <c r="F5" s="653"/>
      <c r="G5" s="653"/>
      <c r="H5" s="653"/>
    </row>
    <row r="6" spans="1:8" x14ac:dyDescent="0.2">
      <c r="A6" s="655" t="s">
        <v>216</v>
      </c>
      <c r="B6" s="656"/>
      <c r="C6" s="657"/>
      <c r="D6" s="656" t="s">
        <v>232</v>
      </c>
      <c r="E6" s="656"/>
      <c r="F6" s="656"/>
      <c r="G6" s="656"/>
      <c r="H6" s="657"/>
    </row>
    <row r="7" spans="1:8" ht="13.5" thickBot="1" x14ac:dyDescent="0.25">
      <c r="A7" s="644" t="s">
        <v>217</v>
      </c>
      <c r="B7" s="645"/>
      <c r="C7" s="646"/>
      <c r="D7" s="647" t="s">
        <v>230</v>
      </c>
      <c r="E7" s="648"/>
      <c r="F7" s="648"/>
      <c r="G7" s="648"/>
      <c r="H7" s="649"/>
    </row>
    <row r="8" spans="1:8" ht="25.5" x14ac:dyDescent="0.2">
      <c r="A8" s="319" t="s">
        <v>0</v>
      </c>
      <c r="B8" s="320" t="s">
        <v>1</v>
      </c>
      <c r="C8" s="320" t="s">
        <v>218</v>
      </c>
      <c r="D8" s="321" t="s">
        <v>219</v>
      </c>
      <c r="E8" s="321" t="s">
        <v>220</v>
      </c>
      <c r="F8" s="320" t="s">
        <v>221</v>
      </c>
      <c r="G8" s="320" t="s">
        <v>222</v>
      </c>
      <c r="H8" s="320" t="s">
        <v>223</v>
      </c>
    </row>
    <row r="9" spans="1:8" x14ac:dyDescent="0.2">
      <c r="A9" s="650">
        <v>1</v>
      </c>
      <c r="B9" s="638"/>
      <c r="C9" s="651" t="s">
        <v>94</v>
      </c>
      <c r="D9" s="322" t="s">
        <v>224</v>
      </c>
      <c r="E9" s="323">
        <v>1</v>
      </c>
      <c r="F9" s="323">
        <v>1</v>
      </c>
      <c r="G9" s="323"/>
      <c r="H9" s="323"/>
    </row>
    <row r="10" spans="1:8" x14ac:dyDescent="0.2">
      <c r="A10" s="642"/>
      <c r="B10" s="628"/>
      <c r="C10" s="643"/>
      <c r="D10" s="324" t="s">
        <v>225</v>
      </c>
      <c r="E10" s="325">
        <v>940.7</v>
      </c>
      <c r="F10" s="325">
        <f t="shared" ref="F10:H10" si="0">F9*$E$10</f>
        <v>940.7</v>
      </c>
      <c r="G10" s="325">
        <f t="shared" si="0"/>
        <v>0</v>
      </c>
      <c r="H10" s="325">
        <f t="shared" si="0"/>
        <v>0</v>
      </c>
    </row>
    <row r="11" spans="1:8" x14ac:dyDescent="0.2">
      <c r="A11" s="641">
        <v>2</v>
      </c>
      <c r="B11" s="628"/>
      <c r="C11" s="643" t="s">
        <v>229</v>
      </c>
      <c r="D11" s="324" t="s">
        <v>224</v>
      </c>
      <c r="E11" s="323">
        <v>1</v>
      </c>
      <c r="F11" s="323">
        <v>0.7</v>
      </c>
      <c r="G11" s="323">
        <v>0.3</v>
      </c>
      <c r="H11" s="323"/>
    </row>
    <row r="12" spans="1:8" x14ac:dyDescent="0.2">
      <c r="A12" s="642"/>
      <c r="B12" s="628"/>
      <c r="C12" s="643"/>
      <c r="D12" s="324" t="s">
        <v>225</v>
      </c>
      <c r="E12" s="325">
        <v>191804.53</v>
      </c>
      <c r="F12" s="325">
        <f t="shared" ref="F12:H12" si="1">F11*$E$12</f>
        <v>134263.171</v>
      </c>
      <c r="G12" s="325">
        <f t="shared" si="1"/>
        <v>57541.358999999997</v>
      </c>
      <c r="H12" s="325">
        <f t="shared" si="1"/>
        <v>0</v>
      </c>
    </row>
    <row r="13" spans="1:8" x14ac:dyDescent="0.2">
      <c r="A13" s="641">
        <v>3</v>
      </c>
      <c r="B13" s="628"/>
      <c r="C13" s="643" t="s">
        <v>91</v>
      </c>
      <c r="D13" s="324" t="s">
        <v>224</v>
      </c>
      <c r="E13" s="323">
        <v>1</v>
      </c>
      <c r="F13" s="323"/>
      <c r="G13" s="323">
        <v>0.3</v>
      </c>
      <c r="H13" s="323">
        <v>0.7</v>
      </c>
    </row>
    <row r="14" spans="1:8" x14ac:dyDescent="0.2">
      <c r="A14" s="642"/>
      <c r="B14" s="628"/>
      <c r="C14" s="643"/>
      <c r="D14" s="324" t="s">
        <v>225</v>
      </c>
      <c r="E14" s="325">
        <v>74433.039999999994</v>
      </c>
      <c r="F14" s="325">
        <f t="shared" ref="F14:H14" si="2">F13*$E$14</f>
        <v>0</v>
      </c>
      <c r="G14" s="325">
        <f t="shared" si="2"/>
        <v>22329.911999999997</v>
      </c>
      <c r="H14" s="325">
        <f t="shared" si="2"/>
        <v>52103.12799999999</v>
      </c>
    </row>
    <row r="15" spans="1:8" x14ac:dyDescent="0.2">
      <c r="A15" s="626"/>
      <c r="B15" s="628"/>
      <c r="C15" s="628"/>
      <c r="D15" s="324" t="s">
        <v>224</v>
      </c>
      <c r="E15" s="323"/>
      <c r="F15" s="323"/>
      <c r="G15" s="323"/>
      <c r="H15" s="323"/>
    </row>
    <row r="16" spans="1:8" x14ac:dyDescent="0.2">
      <c r="A16" s="626"/>
      <c r="B16" s="628"/>
      <c r="C16" s="628"/>
      <c r="D16" s="324" t="s">
        <v>225</v>
      </c>
      <c r="E16" s="325"/>
      <c r="F16" s="325">
        <f t="shared" ref="F16:H16" si="3">F15*$E$16</f>
        <v>0</v>
      </c>
      <c r="G16" s="325">
        <f t="shared" si="3"/>
        <v>0</v>
      </c>
      <c r="H16" s="325">
        <f t="shared" si="3"/>
        <v>0</v>
      </c>
    </row>
    <row r="17" spans="1:8" x14ac:dyDescent="0.2">
      <c r="A17" s="626"/>
      <c r="B17" s="628"/>
      <c r="C17" s="628"/>
      <c r="D17" s="324" t="s">
        <v>224</v>
      </c>
      <c r="E17" s="323"/>
      <c r="F17" s="323"/>
      <c r="G17" s="323"/>
      <c r="H17" s="323"/>
    </row>
    <row r="18" spans="1:8" x14ac:dyDescent="0.2">
      <c r="A18" s="626"/>
      <c r="B18" s="628"/>
      <c r="C18" s="628"/>
      <c r="D18" s="324" t="s">
        <v>225</v>
      </c>
      <c r="E18" s="325"/>
      <c r="F18" s="325">
        <f t="shared" ref="F18:H18" si="4">F17*$E$16</f>
        <v>0</v>
      </c>
      <c r="G18" s="325">
        <f t="shared" si="4"/>
        <v>0</v>
      </c>
      <c r="H18" s="325">
        <f t="shared" si="4"/>
        <v>0</v>
      </c>
    </row>
    <row r="19" spans="1:8" x14ac:dyDescent="0.2">
      <c r="A19" s="627"/>
      <c r="B19" s="629"/>
      <c r="C19" s="629"/>
      <c r="D19" s="324" t="s">
        <v>224</v>
      </c>
      <c r="E19" s="323"/>
      <c r="F19" s="323"/>
      <c r="G19" s="323"/>
      <c r="H19" s="323"/>
    </row>
    <row r="20" spans="1:8" x14ac:dyDescent="0.2">
      <c r="A20" s="637"/>
      <c r="B20" s="638"/>
      <c r="C20" s="638"/>
      <c r="D20" s="324" t="s">
        <v>225</v>
      </c>
      <c r="E20" s="325"/>
      <c r="F20" s="325">
        <f t="shared" ref="F20:H20" si="5">F19*$E$20</f>
        <v>0</v>
      </c>
      <c r="G20" s="325">
        <f t="shared" si="5"/>
        <v>0</v>
      </c>
      <c r="H20" s="325">
        <f t="shared" si="5"/>
        <v>0</v>
      </c>
    </row>
    <row r="21" spans="1:8" x14ac:dyDescent="0.2">
      <c r="A21" s="627"/>
      <c r="B21" s="629"/>
      <c r="C21" s="629"/>
      <c r="D21" s="324" t="s">
        <v>224</v>
      </c>
      <c r="E21" s="323"/>
      <c r="F21" s="323"/>
      <c r="G21" s="323"/>
      <c r="H21" s="323"/>
    </row>
    <row r="22" spans="1:8" x14ac:dyDescent="0.2">
      <c r="A22" s="637"/>
      <c r="B22" s="638"/>
      <c r="C22" s="638"/>
      <c r="D22" s="324" t="s">
        <v>225</v>
      </c>
      <c r="E22" s="325"/>
      <c r="F22" s="325">
        <f t="shared" ref="F22:H22" si="6">F21*$E$22</f>
        <v>0</v>
      </c>
      <c r="G22" s="325">
        <f t="shared" si="6"/>
        <v>0</v>
      </c>
      <c r="H22" s="325">
        <f t="shared" si="6"/>
        <v>0</v>
      </c>
    </row>
    <row r="23" spans="1:8" x14ac:dyDescent="0.2">
      <c r="A23" s="627"/>
      <c r="B23" s="629"/>
      <c r="C23" s="629"/>
      <c r="D23" s="324" t="s">
        <v>224</v>
      </c>
      <c r="E23" s="323"/>
      <c r="F23" s="323"/>
      <c r="G23" s="323"/>
      <c r="H23" s="323"/>
    </row>
    <row r="24" spans="1:8" x14ac:dyDescent="0.2">
      <c r="A24" s="637"/>
      <c r="B24" s="638"/>
      <c r="C24" s="638"/>
      <c r="D24" s="324" t="s">
        <v>225</v>
      </c>
      <c r="E24" s="325"/>
      <c r="F24" s="325">
        <f t="shared" ref="F24:H24" si="7">F23*$E$24</f>
        <v>0</v>
      </c>
      <c r="G24" s="325">
        <f t="shared" si="7"/>
        <v>0</v>
      </c>
      <c r="H24" s="325">
        <f t="shared" si="7"/>
        <v>0</v>
      </c>
    </row>
    <row r="25" spans="1:8" x14ac:dyDescent="0.2">
      <c r="A25" s="627"/>
      <c r="B25" s="629"/>
      <c r="C25" s="629"/>
      <c r="D25" s="324" t="s">
        <v>224</v>
      </c>
      <c r="E25" s="323"/>
      <c r="F25" s="323"/>
      <c r="G25" s="323"/>
      <c r="H25" s="323"/>
    </row>
    <row r="26" spans="1:8" x14ac:dyDescent="0.2">
      <c r="A26" s="637"/>
      <c r="B26" s="638"/>
      <c r="C26" s="638"/>
      <c r="D26" s="324" t="s">
        <v>225</v>
      </c>
      <c r="E26" s="325"/>
      <c r="F26" s="325">
        <f t="shared" ref="F26:H26" si="8">F25*$E$26</f>
        <v>0</v>
      </c>
      <c r="G26" s="325">
        <f t="shared" si="8"/>
        <v>0</v>
      </c>
      <c r="H26" s="325">
        <f t="shared" si="8"/>
        <v>0</v>
      </c>
    </row>
    <row r="27" spans="1:8" x14ac:dyDescent="0.2">
      <c r="A27" s="627"/>
      <c r="B27" s="629"/>
      <c r="C27" s="629"/>
      <c r="D27" s="324" t="s">
        <v>224</v>
      </c>
      <c r="E27" s="323"/>
      <c r="F27" s="323"/>
      <c r="G27" s="323"/>
      <c r="H27" s="323"/>
    </row>
    <row r="28" spans="1:8" x14ac:dyDescent="0.2">
      <c r="A28" s="637"/>
      <c r="B28" s="638"/>
      <c r="C28" s="638"/>
      <c r="D28" s="324" t="s">
        <v>225</v>
      </c>
      <c r="E28" s="325"/>
      <c r="F28" s="325">
        <f t="shared" ref="F28:H28" si="9">F27*$E$28</f>
        <v>0</v>
      </c>
      <c r="G28" s="325">
        <f t="shared" si="9"/>
        <v>0</v>
      </c>
      <c r="H28" s="325">
        <f t="shared" si="9"/>
        <v>0</v>
      </c>
    </row>
    <row r="29" spans="1:8" x14ac:dyDescent="0.2">
      <c r="A29" s="639"/>
      <c r="B29" s="640"/>
      <c r="C29" s="640"/>
      <c r="D29" s="324" t="s">
        <v>224</v>
      </c>
      <c r="E29" s="323"/>
      <c r="F29" s="323"/>
      <c r="G29" s="323"/>
      <c r="H29" s="323"/>
    </row>
    <row r="30" spans="1:8" x14ac:dyDescent="0.2">
      <c r="A30" s="639"/>
      <c r="B30" s="640"/>
      <c r="C30" s="640"/>
      <c r="D30" s="324" t="s">
        <v>225</v>
      </c>
      <c r="E30" s="325"/>
      <c r="F30" s="325">
        <f>F29*$E$30</f>
        <v>0</v>
      </c>
      <c r="G30" s="325">
        <f>G29*$E$30</f>
        <v>0</v>
      </c>
      <c r="H30" s="325">
        <f>H29*$E$30</f>
        <v>0</v>
      </c>
    </row>
    <row r="31" spans="1:8" x14ac:dyDescent="0.2">
      <c r="A31" s="626"/>
      <c r="B31" s="628"/>
      <c r="C31" s="628"/>
      <c r="D31" s="324" t="s">
        <v>224</v>
      </c>
      <c r="E31" s="323"/>
      <c r="F31" s="323"/>
      <c r="G31" s="323"/>
      <c r="H31" s="323"/>
    </row>
    <row r="32" spans="1:8" x14ac:dyDescent="0.2">
      <c r="A32" s="627"/>
      <c r="B32" s="629"/>
      <c r="C32" s="629"/>
      <c r="D32" s="326" t="s">
        <v>225</v>
      </c>
      <c r="E32" s="325"/>
      <c r="F32" s="325">
        <f>F31*$E$32</f>
        <v>0</v>
      </c>
      <c r="G32" s="325">
        <f>G31*$E$32</f>
        <v>0</v>
      </c>
      <c r="H32" s="325">
        <f>H31*$E$32</f>
        <v>0</v>
      </c>
    </row>
    <row r="33" spans="1:8" x14ac:dyDescent="0.2">
      <c r="A33" s="630" t="s">
        <v>194</v>
      </c>
      <c r="B33" s="631"/>
      <c r="C33" s="632"/>
      <c r="D33" s="327" t="s">
        <v>224</v>
      </c>
      <c r="E33" s="328">
        <v>1</v>
      </c>
      <c r="F33" s="328">
        <f>F34/$E$34</f>
        <v>0.50604366515285848</v>
      </c>
      <c r="G33" s="328">
        <f>G34/$E$34</f>
        <v>0.29894373895002757</v>
      </c>
      <c r="H33" s="328">
        <f>H34/$E$34</f>
        <v>0.19501259589711389</v>
      </c>
    </row>
    <row r="34" spans="1:8" ht="13.5" thickBot="1" x14ac:dyDescent="0.25">
      <c r="A34" s="633"/>
      <c r="B34" s="634"/>
      <c r="C34" s="635"/>
      <c r="D34" s="329" t="s">
        <v>225</v>
      </c>
      <c r="E34" s="330">
        <f>E10+E12+E14+E16+E18+E20+E22+E24+E26+E28+E30+E32</f>
        <v>267178.27</v>
      </c>
      <c r="F34" s="330">
        <f>F10+F12+F14+F16+F18+F20+F22+F24+F26+F28+F30+F32</f>
        <v>135203.87100000001</v>
      </c>
      <c r="G34" s="330">
        <f>G10+G12+G14+G16+G18+G20+G22+G24+G26+G28+G30+G32</f>
        <v>79871.270999999993</v>
      </c>
      <c r="H34" s="330">
        <f>H10+H12+H14+H16+H18+H20+H22+H24+H26+H28+H30+H32</f>
        <v>52103.12799999999</v>
      </c>
    </row>
    <row r="35" spans="1:8" ht="13.5" thickBot="1" x14ac:dyDescent="0.25">
      <c r="A35" s="331"/>
      <c r="B35" s="331"/>
      <c r="C35" s="331"/>
      <c r="D35" s="332"/>
      <c r="E35" s="332"/>
      <c r="F35" s="331"/>
      <c r="G35" s="331"/>
      <c r="H35" s="331"/>
    </row>
    <row r="36" spans="1:8" x14ac:dyDescent="0.2">
      <c r="A36" s="333"/>
      <c r="B36" s="334"/>
      <c r="C36" s="334"/>
      <c r="D36" s="334"/>
      <c r="E36" s="334"/>
      <c r="F36" s="334"/>
      <c r="G36" s="335"/>
      <c r="H36" s="336"/>
    </row>
    <row r="37" spans="1:8" x14ac:dyDescent="0.2">
      <c r="A37" s="337"/>
      <c r="B37" s="338"/>
      <c r="C37" s="338"/>
      <c r="D37" s="339"/>
      <c r="E37" s="340"/>
      <c r="F37" s="338"/>
      <c r="G37" s="341"/>
      <c r="H37" s="342" t="s">
        <v>173</v>
      </c>
    </row>
    <row r="38" spans="1:8" x14ac:dyDescent="0.2">
      <c r="A38" s="343"/>
      <c r="B38" s="625" t="s">
        <v>226</v>
      </c>
      <c r="C38" s="625"/>
      <c r="D38" s="318"/>
      <c r="E38" s="636" t="s">
        <v>227</v>
      </c>
      <c r="F38" s="636"/>
      <c r="G38" s="344"/>
      <c r="H38" s="345"/>
    </row>
    <row r="39" spans="1:8" x14ac:dyDescent="0.2">
      <c r="A39" s="346"/>
      <c r="B39" s="347"/>
      <c r="C39" s="347"/>
      <c r="D39" s="318"/>
      <c r="E39" s="318"/>
      <c r="F39" s="317"/>
      <c r="G39" s="348"/>
      <c r="H39" s="345"/>
    </row>
    <row r="40" spans="1:8" x14ac:dyDescent="0.2">
      <c r="A40" s="349"/>
      <c r="B40" s="624"/>
      <c r="C40" s="624"/>
      <c r="D40" s="350"/>
      <c r="E40" s="350"/>
      <c r="F40" s="351"/>
      <c r="G40" s="348"/>
      <c r="H40" s="345"/>
    </row>
    <row r="41" spans="1:8" x14ac:dyDescent="0.2">
      <c r="A41" s="352"/>
      <c r="B41" s="625" t="s">
        <v>228</v>
      </c>
      <c r="C41" s="625"/>
      <c r="D41" s="353"/>
      <c r="E41" s="353"/>
      <c r="F41" s="317"/>
      <c r="G41" s="348"/>
      <c r="H41" s="345"/>
    </row>
    <row r="42" spans="1:8" x14ac:dyDescent="0.2">
      <c r="A42" s="317"/>
      <c r="B42" s="317"/>
      <c r="C42" s="317"/>
      <c r="D42" s="318"/>
      <c r="E42" s="318"/>
      <c r="F42" s="317"/>
      <c r="G42" s="317"/>
      <c r="H42" s="345"/>
    </row>
  </sheetData>
  <mergeCells count="48">
    <mergeCell ref="A2:H2"/>
    <mergeCell ref="A3:H3"/>
    <mergeCell ref="A5:H5"/>
    <mergeCell ref="A6:C6"/>
    <mergeCell ref="D6:H6"/>
    <mergeCell ref="A7:C7"/>
    <mergeCell ref="D7:H7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E38:F38"/>
    <mergeCell ref="A27:A28"/>
    <mergeCell ref="B27:B28"/>
    <mergeCell ref="C27:C28"/>
    <mergeCell ref="A29:A30"/>
    <mergeCell ref="B29:B30"/>
    <mergeCell ref="C29:C30"/>
    <mergeCell ref="B40:C40"/>
    <mergeCell ref="B41:C41"/>
    <mergeCell ref="A31:A32"/>
    <mergeCell ref="B31:B32"/>
    <mergeCell ref="C31:C32"/>
    <mergeCell ref="A33:C34"/>
    <mergeCell ref="B38:C3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</vt:lpstr>
      <vt:lpstr>COMPOSIÇÃO BDI</vt:lpstr>
      <vt:lpstr>RELAÇÃO DE RUAS </vt:lpstr>
      <vt:lpstr>MEMORIA</vt:lpstr>
      <vt:lpstr>CRONOGRAMA</vt:lpstr>
      <vt:lpstr>MEMORIA!Area_de_impressao</vt:lpstr>
      <vt:lpstr>PLANILHA!Area_de_impressao</vt:lpstr>
      <vt:lpstr>'RELAÇÃO DE RUAS '!Area_de_impressao</vt:lpstr>
      <vt:lpstr>MEMORIA!Titulos_de_impressao</vt:lpstr>
      <vt:lpstr>PLANILHA!Titulos_de_impressao</vt:lpstr>
    </vt:vector>
  </TitlesOfParts>
  <Company>Setop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Engenharia</cp:lastModifiedBy>
  <cp:lastPrinted>2020-06-03T19:08:40Z</cp:lastPrinted>
  <dcterms:created xsi:type="dcterms:W3CDTF">2006-09-22T13:55:22Z</dcterms:created>
  <dcterms:modified xsi:type="dcterms:W3CDTF">2020-06-08T17:47:10Z</dcterms:modified>
</cp:coreProperties>
</file>