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ENHARIA\Desktop\ASFALTAMENTOS E OBRAS DE CONVENIOS - 2017\ASAFALTO VISTA ALEGRE - 500MIL E 250 MIL\"/>
    </mc:Choice>
  </mc:AlternateContent>
  <bookViews>
    <workbookView xWindow="0" yWindow="0" windowWidth="28800" windowHeight="12435"/>
  </bookViews>
  <sheets>
    <sheet name="PLANILHA" sheetId="11" r:id="rId1"/>
    <sheet name="MEMORIA" sheetId="10" r:id="rId2"/>
    <sheet name="COMPOSIÇÃO BDI" sheetId="12" r:id="rId3"/>
    <sheet name="RELAÇÃO DE RUAS " sheetId="9" r:id="rId4"/>
  </sheets>
  <externalReferences>
    <externalReference r:id="rId5"/>
  </externalReferences>
  <definedNames>
    <definedName name="_xlnm.Print_Area" localSheetId="1">MEMORIA!$A$1:$P$30</definedName>
    <definedName name="_xlnm.Print_Area" localSheetId="0">PLANILHA!$A$1:$AM$73</definedName>
    <definedName name="_xlnm.Print_Area" localSheetId="3">'RELAÇÃO DE RUAS '!$A$1:$O$28</definedName>
    <definedName name="_xlnm.Print_Titles" localSheetId="1">MEMORIA!$1:$9</definedName>
    <definedName name="_xlnm.Print_Titles" localSheetId="0">PLANILHA!$2:$29</definedName>
  </definedNames>
  <calcPr calcId="152511"/>
</workbook>
</file>

<file path=xl/calcChain.xml><?xml version="1.0" encoding="utf-8"?>
<calcChain xmlns="http://schemas.openxmlformats.org/spreadsheetml/2006/main">
  <c r="L19" i="10" l="1"/>
  <c r="J29" i="10" l="1"/>
  <c r="C29" i="10" l="1"/>
  <c r="P17" i="9"/>
  <c r="R27" i="9"/>
  <c r="R17" i="9"/>
  <c r="Q17" i="9"/>
  <c r="Q24" i="9"/>
  <c r="L24" i="9"/>
  <c r="O24" i="9"/>
  <c r="P24" i="9"/>
  <c r="E24" i="9"/>
  <c r="F38" i="11" l="1"/>
  <c r="Q23" i="9"/>
  <c r="P23" i="9"/>
  <c r="O23" i="9"/>
  <c r="L23" i="9"/>
  <c r="F23" i="9"/>
  <c r="E23" i="9"/>
  <c r="G23" i="9" s="1"/>
  <c r="E20" i="9" l="1"/>
  <c r="F20" i="9"/>
  <c r="G20" i="9"/>
  <c r="L20" i="9"/>
  <c r="O20" i="9"/>
  <c r="P20" i="9"/>
  <c r="Q20" i="9"/>
  <c r="C17" i="9"/>
  <c r="C18" i="9"/>
  <c r="F19" i="9"/>
  <c r="F18" i="9"/>
  <c r="L12" i="9"/>
  <c r="K17" i="9"/>
  <c r="K27" i="9" s="1"/>
  <c r="I17" i="9"/>
  <c r="I27" i="9" s="1"/>
  <c r="J17" i="9"/>
  <c r="J27" i="9" s="1"/>
  <c r="H17" i="9"/>
  <c r="H27" i="9" s="1"/>
  <c r="E13" i="9"/>
  <c r="F13" i="9"/>
  <c r="G13" i="9"/>
  <c r="L13" i="9"/>
  <c r="O13" i="9"/>
  <c r="P13" i="9"/>
  <c r="Q13" i="9"/>
  <c r="E14" i="9"/>
  <c r="F14" i="9"/>
  <c r="G14" i="9"/>
  <c r="L14" i="9"/>
  <c r="O14" i="9"/>
  <c r="P14" i="9"/>
  <c r="Q14" i="9"/>
  <c r="E15" i="9"/>
  <c r="F15" i="9"/>
  <c r="G15" i="9"/>
  <c r="L15" i="9"/>
  <c r="O15" i="9"/>
  <c r="P15" i="9"/>
  <c r="Q15" i="9"/>
  <c r="E16" i="9"/>
  <c r="F16" i="9"/>
  <c r="G16" i="9"/>
  <c r="L16" i="9"/>
  <c r="O16" i="9"/>
  <c r="P16" i="9"/>
  <c r="Q16" i="9"/>
  <c r="L17" i="9" l="1"/>
  <c r="F57" i="11" l="1"/>
  <c r="F46" i="11" l="1"/>
  <c r="F31" i="11"/>
  <c r="F41" i="11" l="1"/>
  <c r="O42" i="12" l="1"/>
  <c r="P19" i="9" l="1"/>
  <c r="P18" i="9"/>
  <c r="E18" i="9" l="1"/>
  <c r="G18" i="9" s="1"/>
  <c r="L18" i="9"/>
  <c r="O18" i="9"/>
  <c r="Q18" i="9"/>
  <c r="E19" i="9"/>
  <c r="G19" i="9" s="1"/>
  <c r="L19" i="9"/>
  <c r="O19" i="9"/>
  <c r="Q19" i="9"/>
  <c r="L27" i="9" l="1"/>
  <c r="I50" i="12"/>
  <c r="J49" i="12"/>
  <c r="I49" i="12"/>
  <c r="J48" i="12"/>
  <c r="J47" i="12"/>
  <c r="A45" i="12"/>
  <c r="A46" i="12" s="1"/>
  <c r="C44" i="12"/>
  <c r="I42" i="12"/>
  <c r="A39" i="12"/>
  <c r="C39" i="12" s="1"/>
  <c r="C38" i="12"/>
  <c r="I35" i="12"/>
  <c r="M32" i="12"/>
  <c r="I29" i="12"/>
  <c r="A28" i="12"/>
  <c r="A29" i="12" s="1"/>
  <c r="C27" i="12"/>
  <c r="N24" i="12"/>
  <c r="M22" i="12"/>
  <c r="I22" i="12"/>
  <c r="C22" i="12"/>
  <c r="A22" i="12"/>
  <c r="A23" i="12" s="1"/>
  <c r="C23" i="12" s="1"/>
  <c r="M21" i="12"/>
  <c r="I21" i="12"/>
  <c r="C21" i="12"/>
  <c r="M20" i="12"/>
  <c r="I20" i="12"/>
  <c r="M19" i="12"/>
  <c r="I19" i="12"/>
  <c r="M18" i="12"/>
  <c r="I18" i="12"/>
  <c r="A15" i="12"/>
  <c r="C15" i="12" s="1"/>
  <c r="C14" i="12"/>
  <c r="C13" i="12"/>
  <c r="C12" i="12"/>
  <c r="Q11" i="12"/>
  <c r="N25" i="12" s="1"/>
  <c r="O25" i="12" s="1"/>
  <c r="C11" i="12"/>
  <c r="C10" i="12"/>
  <c r="C9" i="12"/>
  <c r="I8" i="12"/>
  <c r="C8" i="12"/>
  <c r="K5" i="12"/>
  <c r="I5" i="12"/>
  <c r="A3" i="12"/>
  <c r="A4" i="12" s="1"/>
  <c r="C2" i="12"/>
  <c r="C3" i="12" l="1"/>
  <c r="C28" i="12"/>
  <c r="C45" i="12"/>
  <c r="N27" i="12"/>
  <c r="A5" i="12"/>
  <c r="C4" i="12"/>
  <c r="A32" i="12"/>
  <c r="C29" i="12"/>
  <c r="A47" i="12"/>
  <c r="C46" i="12"/>
  <c r="A17" i="12"/>
  <c r="A24" i="12"/>
  <c r="L32" i="12"/>
  <c r="M33" i="12"/>
  <c r="I37" i="12"/>
  <c r="A40" i="12"/>
  <c r="N26" i="12"/>
  <c r="C17" i="12" l="1"/>
  <c r="A18" i="12"/>
  <c r="A48" i="12"/>
  <c r="C47" i="12"/>
  <c r="C32" i="12"/>
  <c r="A33" i="12"/>
  <c r="A6" i="12"/>
  <c r="C5" i="12"/>
  <c r="C40" i="12"/>
  <c r="A41" i="12"/>
  <c r="A25" i="12"/>
  <c r="C24" i="12"/>
  <c r="C41" i="12" l="1"/>
  <c r="A42" i="12"/>
  <c r="A34" i="12"/>
  <c r="C34" i="12" s="1"/>
  <c r="C33" i="12"/>
  <c r="A19" i="12"/>
  <c r="C18" i="12"/>
  <c r="A26" i="12"/>
  <c r="C26" i="12" s="1"/>
  <c r="C25" i="12"/>
  <c r="A7" i="12"/>
  <c r="C7" i="12" s="1"/>
  <c r="R22" i="12" s="1"/>
  <c r="C6" i="12"/>
  <c r="Q18" i="12" s="1"/>
  <c r="A49" i="12"/>
  <c r="C49" i="12" s="1"/>
  <c r="C48" i="12"/>
  <c r="A20" i="12" l="1"/>
  <c r="C20" i="12" s="1"/>
  <c r="C19" i="12"/>
  <c r="Q26" i="12"/>
  <c r="P21" i="12"/>
  <c r="R18" i="12"/>
  <c r="R26" i="12"/>
  <c r="P26" i="12"/>
  <c r="O26" i="12" s="1"/>
  <c r="O27" i="12" s="1"/>
  <c r="R21" i="12"/>
  <c r="Q19" i="12"/>
  <c r="Q20" i="12"/>
  <c r="P19" i="12"/>
  <c r="Q22" i="12"/>
  <c r="P20" i="12"/>
  <c r="R19" i="12"/>
  <c r="Q21" i="12"/>
  <c r="P22" i="12"/>
  <c r="R20" i="12"/>
  <c r="P18" i="12"/>
  <c r="C42" i="12"/>
  <c r="A43" i="12"/>
  <c r="C43" i="12" s="1"/>
  <c r="F24" i="9" l="1"/>
  <c r="F25" i="9"/>
  <c r="G24" i="9"/>
  <c r="G25" i="9"/>
  <c r="E12" i="9" l="1"/>
  <c r="O12" i="9" l="1"/>
  <c r="O17" i="9" s="1"/>
  <c r="O27" i="9" s="1"/>
  <c r="Q12" i="9"/>
  <c r="M27" i="9"/>
  <c r="Q27" i="9" l="1"/>
  <c r="P3" i="10"/>
  <c r="F56" i="11"/>
  <c r="F29" i="10" l="1"/>
  <c r="F34" i="10" s="1"/>
  <c r="U56" i="11" s="1"/>
  <c r="AA56" i="11" s="1"/>
  <c r="R28" i="9"/>
  <c r="C27" i="10"/>
  <c r="U52" i="11" s="1"/>
  <c r="G12" i="9"/>
  <c r="G17" i="9" s="1"/>
  <c r="G27" i="9" s="1"/>
  <c r="F12" i="9"/>
  <c r="F17" i="9" s="1"/>
  <c r="F27" i="9" s="1"/>
  <c r="N27" i="9"/>
  <c r="P27" i="9"/>
  <c r="C30" i="10" l="1"/>
  <c r="U57" i="11" s="1"/>
  <c r="P28" i="9" l="1"/>
  <c r="AE56" i="11"/>
  <c r="B5" i="10"/>
  <c r="C25" i="10" l="1"/>
  <c r="U50" i="11" s="1"/>
  <c r="F26" i="10" l="1"/>
  <c r="U51" i="11" s="1"/>
  <c r="AH56" i="11" l="1"/>
  <c r="D23" i="10"/>
  <c r="N28" i="9"/>
  <c r="D22" i="10" s="1"/>
  <c r="F17" i="10" l="1"/>
  <c r="F18" i="10"/>
  <c r="F37" i="11"/>
  <c r="U38" i="11" l="1"/>
  <c r="F45" i="11"/>
  <c r="B3" i="10"/>
  <c r="F11" i="10"/>
  <c r="U31" i="11" s="1"/>
  <c r="U46" i="11"/>
  <c r="U45" i="11"/>
  <c r="A30" i="11"/>
  <c r="F30" i="11"/>
  <c r="AA30" i="11"/>
  <c r="AE30" i="11"/>
  <c r="AH30" i="11"/>
  <c r="A31" i="11"/>
  <c r="F34" i="11"/>
  <c r="F35" i="11"/>
  <c r="F36" i="11"/>
  <c r="F39" i="11"/>
  <c r="F40" i="11"/>
  <c r="F44" i="11"/>
  <c r="F49" i="11"/>
  <c r="F50" i="11"/>
  <c r="F51" i="11"/>
  <c r="F52" i="11"/>
  <c r="AA57" i="11"/>
  <c r="AA58" i="11" s="1"/>
  <c r="AE57" i="11" l="1"/>
  <c r="AH57" i="11" s="1"/>
  <c r="AH58" i="11" s="1"/>
  <c r="F19" i="10" l="1"/>
  <c r="J19" i="10" s="1"/>
  <c r="U39" i="11"/>
  <c r="L20" i="10" l="1"/>
  <c r="P20" i="10" s="1"/>
  <c r="U41" i="11" s="1"/>
  <c r="AA41" i="11" s="1"/>
  <c r="U40" i="11"/>
  <c r="AA40" i="11" s="1"/>
  <c r="AE41" i="11"/>
  <c r="AA39" i="11"/>
  <c r="AE39" i="11"/>
  <c r="AH39" i="11" s="1"/>
  <c r="AA38" i="11"/>
  <c r="AE46" i="11"/>
  <c r="AH46" i="11" s="1"/>
  <c r="AE38" i="11"/>
  <c r="AH38" i="11" s="1"/>
  <c r="AE51" i="11"/>
  <c r="AH51" i="11" s="1"/>
  <c r="AA51" i="11"/>
  <c r="AA46" i="11"/>
  <c r="AA50" i="11"/>
  <c r="AE37" i="11"/>
  <c r="AA45" i="11"/>
  <c r="AE52" i="11"/>
  <c r="AE35" i="11"/>
  <c r="AE31" i="11"/>
  <c r="AE50" i="11"/>
  <c r="AH50" i="11" s="1"/>
  <c r="AE36" i="11"/>
  <c r="AA31" i="11"/>
  <c r="AA32" i="11" s="1"/>
  <c r="AE40" i="11"/>
  <c r="AE45" i="11"/>
  <c r="AH45" i="11" s="1"/>
  <c r="AH41" i="11" l="1"/>
  <c r="AH31" i="11"/>
  <c r="AA47" i="11"/>
  <c r="AH47" i="11"/>
  <c r="AH40" i="11"/>
  <c r="AH32" i="11" l="1"/>
  <c r="AH52" i="11" l="1"/>
  <c r="AH53" i="11" s="1"/>
  <c r="AA52" i="11"/>
  <c r="AA53" i="11" s="1"/>
  <c r="F14" i="10"/>
  <c r="F15" i="10" s="1"/>
  <c r="J15" i="10" s="1"/>
  <c r="U35" i="11" l="1"/>
  <c r="AH35" i="11" s="1"/>
  <c r="U36" i="11"/>
  <c r="AH36" i="11" s="1"/>
  <c r="J16" i="10"/>
  <c r="O16" i="10" s="1"/>
  <c r="U37" i="11" s="1"/>
  <c r="AH37" i="11" s="1"/>
  <c r="AA35" i="11" l="1"/>
  <c r="AA37" i="11"/>
  <c r="AA36" i="11"/>
  <c r="AH42" i="11" l="1"/>
  <c r="AH59" i="11" s="1"/>
  <c r="AA42" i="11"/>
  <c r="AA59" i="11" s="1"/>
</calcChain>
</file>

<file path=xl/sharedStrings.xml><?xml version="1.0" encoding="utf-8"?>
<sst xmlns="http://schemas.openxmlformats.org/spreadsheetml/2006/main" count="354" uniqueCount="230">
  <si>
    <t>ITEM</t>
  </si>
  <si>
    <t>CÓDIGO</t>
  </si>
  <si>
    <t>1.1</t>
  </si>
  <si>
    <t>2.1</t>
  </si>
  <si>
    <t>RELAÇÃO DE RUAS</t>
  </si>
  <si>
    <t>3.1</t>
  </si>
  <si>
    <t>%</t>
  </si>
  <si>
    <t>NOME DAS RUAS</t>
  </si>
  <si>
    <t>TOTAIS GERAIS</t>
  </si>
  <si>
    <t>COMPRIMENTO (m)</t>
  </si>
  <si>
    <t>MEMÓRIA DE CÁLCULO DOS QUANTITATIVOS</t>
  </si>
  <si>
    <t>DISCRIMINAÇÃO DOS SERVIÇOS</t>
  </si>
  <si>
    <t>COMPR. (m)</t>
  </si>
  <si>
    <t>LARG. (m)</t>
  </si>
  <si>
    <t>ÁREA (m²)</t>
  </si>
  <si>
    <t>ESP. (m)</t>
  </si>
  <si>
    <t>VOLUME (m³)</t>
  </si>
  <si>
    <t>PESO ESPCIF. (ton/m³)</t>
  </si>
  <si>
    <t>PESO (ton)</t>
  </si>
  <si>
    <t>DMT (km)</t>
  </si>
  <si>
    <t>MOM. TRANSP. (tonxkm)</t>
  </si>
  <si>
    <t>MOM. TRANSP. (m³xkm)</t>
  </si>
  <si>
    <t>2.2</t>
  </si>
  <si>
    <t>4.1</t>
  </si>
  <si>
    <t>IMPLANTAÇÃO</t>
  </si>
  <si>
    <t>CONSUMO DE MATERIAIS</t>
  </si>
  <si>
    <t>3.2</t>
  </si>
  <si>
    <t>5.1</t>
  </si>
  <si>
    <t>UNID.</t>
  </si>
  <si>
    <t>m³</t>
  </si>
  <si>
    <t>m²</t>
  </si>
  <si>
    <t>4.3</t>
  </si>
  <si>
    <t>4.2</t>
  </si>
  <si>
    <t>2.3</t>
  </si>
  <si>
    <t xml:space="preserve">ORÇAMENTO DISCRIMINATIVO </t>
  </si>
  <si>
    <t>Proponente</t>
  </si>
  <si>
    <t>Nº do Contrato de Repasse - OGU</t>
  </si>
  <si>
    <t>Empreendimento ( Nome/Apelido)</t>
  </si>
  <si>
    <t>Município</t>
  </si>
  <si>
    <t>UF</t>
  </si>
  <si>
    <t>MG</t>
  </si>
  <si>
    <t>Programa</t>
  </si>
  <si>
    <t>Gestor (Ministério)</t>
  </si>
  <si>
    <t>Data-Base (mês de referência)</t>
  </si>
  <si>
    <t>Regime de execução das obras:</t>
  </si>
  <si>
    <t>Composição de BDI Adotada</t>
  </si>
  <si>
    <t>BDI Proposto:</t>
  </si>
  <si>
    <t>Garantia (G)</t>
  </si>
  <si>
    <t xml:space="preserve">De </t>
  </si>
  <si>
    <t>até</t>
  </si>
  <si>
    <t xml:space="preserve">  Garantia:</t>
  </si>
  <si>
    <t xml:space="preserve">Risco (R) </t>
  </si>
  <si>
    <t xml:space="preserve">  Risco:</t>
  </si>
  <si>
    <t>Despesas financeiras (DF)</t>
  </si>
  <si>
    <t xml:space="preserve">  Despesas financeiras:</t>
  </si>
  <si>
    <t>Administração Central (AC)</t>
  </si>
  <si>
    <t xml:space="preserve">  Administração central:</t>
  </si>
  <si>
    <t>Lucro (L)</t>
  </si>
  <si>
    <t xml:space="preserve">  Lucro:</t>
  </si>
  <si>
    <t>Tributos (T)</t>
  </si>
  <si>
    <t xml:space="preserve">  Tributos:</t>
  </si>
  <si>
    <t>DESCRIÇÃO DOS SERVIÇOS</t>
  </si>
  <si>
    <t xml:space="preserve">UN </t>
  </si>
  <si>
    <t>QUANT</t>
  </si>
  <si>
    <t>VALORES (R$)</t>
  </si>
  <si>
    <t>tributos</t>
  </si>
  <si>
    <t>FONTE</t>
  </si>
  <si>
    <t>CUSTO</t>
  </si>
  <si>
    <t>PREÇO</t>
  </si>
  <si>
    <t>iss</t>
  </si>
  <si>
    <t>UNITÁRIO</t>
  </si>
  <si>
    <t>TOTAL ITEM</t>
  </si>
  <si>
    <t>pis</t>
  </si>
  <si>
    <t>cofins</t>
  </si>
  <si>
    <t>SINAPI</t>
  </si>
  <si>
    <t>SUBTOTAL 1</t>
  </si>
  <si>
    <t>m³.km</t>
  </si>
  <si>
    <t>SUBTOTAL 2</t>
  </si>
  <si>
    <t>t.km</t>
  </si>
  <si>
    <t>SUBTOTAL 3</t>
  </si>
  <si>
    <t>m</t>
  </si>
  <si>
    <t>SUBTOTAL 4</t>
  </si>
  <si>
    <t>unid.</t>
  </si>
  <si>
    <t>TOTAIS:</t>
  </si>
  <si>
    <t>CUSTO:</t>
  </si>
  <si>
    <t>PREÇO:</t>
  </si>
  <si>
    <t xml:space="preserve">                      Declaro para os devidos fins que os itens apresentados neste Orçamento Discriminativo estão com os quantitativos compatíveis com os projetos / especificações técnicas que compõem a proposta do referido Contrato de Repasse e os custos unitários previstos são iguais ou inferiores à mediana do SINAPI atendendo, portanto, à Lei de Diretrizes Orçamentárias - LDO em vigor. </t>
  </si>
  <si>
    <t xml:space="preserve">REGULARIZACAO E COMPACTACAO DE SUBLEITO ATE 20 CM DE ESPESSURA </t>
  </si>
  <si>
    <t>BASE DE SOLO - BRITA (50/50), MISTURA EM USINA, COMPACTACAO 100% PROCTOR MODIFICADO, EXCLUSIVE ESCAVACAO, CARGA E TRANSPORTE</t>
  </si>
  <si>
    <t>EMPOLAMENTO %</t>
  </si>
  <si>
    <t>PINTURA DE LIGACAO COM EMULSAO RR-1C</t>
  </si>
  <si>
    <t>PAVIMENTAÇÃO ASFÁLTICA</t>
  </si>
  <si>
    <t>DRENAGEM SUPERFICIAL</t>
  </si>
  <si>
    <t>5.2</t>
  </si>
  <si>
    <t>OBRAS COMPLEMENTARES</t>
  </si>
  <si>
    <t>SERVIÇOS PRELIMINARES</t>
  </si>
  <si>
    <t>Pavimentação Asfáltico em C.B.U.Q. (Concreto Betuminoso Usinado a Quente)</t>
  </si>
  <si>
    <t>2.4</t>
  </si>
  <si>
    <t>2.5</t>
  </si>
  <si>
    <t>2.6</t>
  </si>
  <si>
    <t>2.7</t>
  </si>
  <si>
    <t>SUBTOTAL 5</t>
  </si>
  <si>
    <t>URBANIZAÇÃO</t>
  </si>
  <si>
    <t>Obra: PAVIMENTAÇÃO ASFÁLTICA</t>
  </si>
  <si>
    <t>74209/001</t>
  </si>
  <si>
    <t>PLACA DE OBRA EM CHAPA DE ACO GALVANIZADO</t>
  </si>
  <si>
    <t>73916/002</t>
  </si>
  <si>
    <t>PREFEITURA MUNICIPAL DE PAPAGAIOS - MG</t>
  </si>
  <si>
    <t>Planejamento Urbano</t>
  </si>
  <si>
    <t>Papagaios</t>
  </si>
  <si>
    <t>LARGURA (sub-leito, Base e Imprimação) (m)</t>
  </si>
  <si>
    <t>LARGURA (pintura e capa) (m)</t>
  </si>
  <si>
    <t>ÁREA DE PAVIMENTAÇÃO (Sub-leito e Base) (m²)</t>
  </si>
  <si>
    <t>ÁREA DE PAVIMENTAÇÃO (imprimação, pintura e capa) (m²)</t>
  </si>
  <si>
    <t>PLACA DE PARE R-1 (unid)</t>
  </si>
  <si>
    <t>PLACA DE IDENTIFICAÇÃO DE RUA (unid)</t>
  </si>
  <si>
    <t>FAIXA DE SINALIZAÇÃO (m2)</t>
  </si>
  <si>
    <t xml:space="preserve">RAMPA ACESSIBILIDADE (unid) </t>
  </si>
  <si>
    <t>MEIO FIO  S/DESC (m)</t>
  </si>
  <si>
    <t xml:space="preserve">MEIO FIO JÁ EXECUTADO </t>
  </si>
  <si>
    <t>EXTENSÃO DOS CRUZAMENTOS SEM MEIO FIO</t>
  </si>
  <si>
    <t>TOTAL MEIO FIO ML</t>
  </si>
  <si>
    <t>SARJETAS S/DESCONTO (m)</t>
  </si>
  <si>
    <t>TOTAL SARJETA</t>
  </si>
  <si>
    <t>EXTENSÃO DOS CRUZAMENTOS SEM SARJETA (m)</t>
  </si>
  <si>
    <t>PASSEIOS (ml)</t>
  </si>
  <si>
    <t>Rua</t>
  </si>
  <si>
    <t>SINALIZACAO HORIZONTAL COM TINTA RETRORREFLETIVA A BASE DE RESINA ACRILICA COM MICROESFERAS DE VIDRO (FAIXA DE PARE, RETENÇÃO E DVISÃO DA PISTA)</t>
  </si>
  <si>
    <t>Responsável Técnico:Engº Civil Irley Geraldo Alves Vieira</t>
  </si>
  <si>
    <t>ASSENTAMENTO DE GUIA (MEIO-FIO) EM TRECHO RETO, CONFECCIONADA EM CONCRETO PRÉ-FABRICADO, DIMENSÕES 100X15X13X30 CM (COMPRIMENTO X BASE INFERIOR X BASE SUPERIOR X ALTURA), PARA VIAS URBANAS (USO VIÁRIO). AF_06/2016</t>
  </si>
  <si>
    <r>
      <t xml:space="preserve"> BDI =</t>
    </r>
    <r>
      <rPr>
        <u/>
        <sz val="11"/>
        <rFont val="Arial"/>
        <family val="2"/>
      </rPr>
      <t xml:space="preserve"> (1+AC+R+G)X(1+DF)x(1+L)</t>
    </r>
    <r>
      <rPr>
        <sz val="11"/>
        <rFont val="Arial"/>
        <family val="2"/>
      </rPr>
      <t xml:space="preserve">)  -1
                                  1-T
  </t>
    </r>
    <r>
      <rPr>
        <u/>
        <sz val="11"/>
        <rFont val="Arial"/>
        <family val="2"/>
      </rPr>
      <t>Observação</t>
    </r>
    <r>
      <rPr>
        <sz val="11"/>
        <rFont val="Arial"/>
        <family val="2"/>
      </rPr>
      <t>:
  i)   Composição do BDI, intervalos admissíveis e Fórmula de cálculo nos termos do Acórdão 2622/2013  do TCU.</t>
    </r>
  </si>
  <si>
    <t>DESCONTOS</t>
  </si>
  <si>
    <t>DE PASSEIOS</t>
  </si>
  <si>
    <t>EXISTENTES</t>
  </si>
  <si>
    <t xml:space="preserve">DATA: </t>
  </si>
  <si>
    <t>PREFEITURA MUNICIPAL DE PAPAGAIOS</t>
  </si>
  <si>
    <t xml:space="preserve">TOTAL DE </t>
  </si>
  <si>
    <t>PASSEIOS</t>
  </si>
  <si>
    <t>CREA-MG: 175.870/D</t>
  </si>
  <si>
    <t>MIN</t>
  </si>
  <si>
    <t>MED</t>
  </si>
  <si>
    <t>MAX</t>
  </si>
  <si>
    <t>Construção e Reforma de Edifícios</t>
  </si>
  <si>
    <t>AC</t>
  </si>
  <si>
    <t>SG</t>
  </si>
  <si>
    <t>R</t>
  </si>
  <si>
    <t>Nº TC/CR</t>
  </si>
  <si>
    <t>PROPONENTE / TOMADOR</t>
  </si>
  <si>
    <t>DF</t>
  </si>
  <si>
    <t>L</t>
  </si>
  <si>
    <t>BDI PAD</t>
  </si>
  <si>
    <t>OBJETO</t>
  </si>
  <si>
    <t>Construção de Praças Urbanas, Rodovias, Ferrovias e recapeamento e pavimentação de vias urbanas</t>
  </si>
  <si>
    <t>TIPO DE OBRA DO EMPREENDIMENTO</t>
  </si>
  <si>
    <t>DESONERAÇÃO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</si>
  <si>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</si>
  <si>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</si>
  <si>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</si>
  <si>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</si>
  <si>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</si>
  <si>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</si>
  <si>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Situação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</si>
  <si>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</si>
  <si>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</si>
  <si>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</si>
  <si>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</si>
  <si>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</si>
  <si>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</si>
  <si>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</si>
  <si>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</si>
  <si>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</si>
  <si>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</si>
  <si>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</si>
  <si>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</si>
  <si>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</si>
  <si>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</si>
  <si>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</si>
  <si>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Anexo: Relatório Técnico Circunstanciado justificando a adoção do percentual de cada parcela do BDI.</t>
  </si>
  <si>
    <t>Os valores de BDI foram calculados com o emprego da fórmula:</t>
  </si>
  <si>
    <t xml:space="preserve"> - 1</t>
  </si>
  <si>
    <t>Fornecimento de Materiais e Equipamentos (aquisição indireta - em conjunto com licitação de obras)</t>
  </si>
  <si>
    <t>Observações:</t>
  </si>
  <si>
    <t>Local</t>
  </si>
  <si>
    <t>Data</t>
  </si>
  <si>
    <t>Estudos e Projetos, Planos e Gerenciamento e outros correlatos</t>
  </si>
  <si>
    <t>K1</t>
  </si>
  <si>
    <t>K2</t>
  </si>
  <si>
    <t/>
  </si>
  <si>
    <t>Responsável Técnico</t>
  </si>
  <si>
    <t>Responsável Tomador</t>
  </si>
  <si>
    <t>Nome:</t>
  </si>
  <si>
    <t>MARIO REIS FILGUEIRAS</t>
  </si>
  <si>
    <t>K3</t>
  </si>
  <si>
    <t>Título:</t>
  </si>
  <si>
    <t>Cargo:</t>
  </si>
  <si>
    <t>PREFEITO MUNICIPAL</t>
  </si>
  <si>
    <t>QUADRO COMPOSIÇÃO BDI</t>
  </si>
  <si>
    <t>EMPREITADA POR PREÇO GLOBAL</t>
  </si>
  <si>
    <t>EXECUÇÃO DE PASSEIO (CALÇADA) OU PISO DE CONCRETO COM CONCRETO MOLDADO 
IN LOCO, FEITO EM OBRA, ACABAMENTO CONVENCIONAL, NÃO ARMADO. AF_07/2016</t>
  </si>
  <si>
    <t>PLACA ESMALTADA PARA IDENTIFICAÇÃO NR DE RUA, DIMENSÕES 45X25CM</t>
  </si>
  <si>
    <t>CIDADES</t>
  </si>
  <si>
    <t>VISTA ALEGRE</t>
  </si>
  <si>
    <t>José Pinto Figueiredo</t>
  </si>
  <si>
    <t>Gilberto Alves Marinho</t>
  </si>
  <si>
    <t>Local: DIVERSAS RUAS - BAIRRO VISTA ALEGRE</t>
  </si>
  <si>
    <t>CT 1043662-06/2017 -SICONV 849309/2017</t>
  </si>
  <si>
    <r>
      <t xml:space="preserve">TRANSPORTE COMERCIAL COM CAMINHAO BASCULANTE 6 M3, RODOVIA PAVIMENTADA (CBUQ) - </t>
    </r>
    <r>
      <rPr>
        <b/>
        <sz val="10"/>
        <rFont val="Arial"/>
        <family val="2"/>
      </rPr>
      <t>DMT =84,2 KM</t>
    </r>
  </si>
  <si>
    <r>
      <t xml:space="preserve">TRANSPORTE COMERCIAL COM CAMINHAO BASCULANTE 6 M3, RODOVIA PAVIMENTADA (mistura solo-brita da usina até o local da obra) - </t>
    </r>
    <r>
      <rPr>
        <b/>
        <sz val="10"/>
        <rFont val="Arial"/>
        <family val="2"/>
      </rPr>
      <t>DMT = 2,77 KM</t>
    </r>
  </si>
  <si>
    <t xml:space="preserve">FABRICAÇÃO E APLICAÇÃO DE CONCRETO BETUMINOSO USINADO A QUENTE(CBUQ), CAP 50/70. EXCLUSIVE TRANSPORTE </t>
  </si>
  <si>
    <t xml:space="preserve"> SARJETA  DE CONCRETO, FCK=15 MPA, COM 50CM DE LARGURA E 5 CM DE ESPESSURA. PADRÃO DEOP-MG TIPO A (I=3%)</t>
  </si>
  <si>
    <t>FORNECIMENTO E INSTALAÇÃO DE PLACA DE SINALIZAÇÃO VIÁRIA(DIÂMETRO=50CM) COM SUPORTE DE AÇO GALVANIZADO (TUBO DE 50 MM DE DIÂMETRO E COMPRIMENTO TOTAL IGUAL A 3 METROS). INCLUI BASE DE CONCRETO</t>
  </si>
  <si>
    <t>GIGOV-DV</t>
  </si>
  <si>
    <t>RAMPA PARA ACESSO DE DEFICIENTE, EM CONCRETO SIMPLES FCK = 15 MPA, DESEMPENADA, COM PINTURA INDICATIVA, 03 DEMÃOS</t>
  </si>
  <si>
    <t>EXECUÇÃO DE IMPRIMAÇÃO COM ASFALTO DILUÍDO CM-30. AF_09/2017</t>
  </si>
  <si>
    <t>74151/001 ESCAVACAO E CARGA MATERIAL 1A CATEGORIA, UTILIZANDO TRATOR DE ESTEIRAS M3 CR 2,63
DE 110 A 160HP COM LAMINA, PESO OPERACIONAL * 13T E PA CARREGADEIRA
COM 170 HP.</t>
  </si>
  <si>
    <t>João Gardino - TRECHO 1</t>
  </si>
  <si>
    <t>João Gardino - TRECHO 2</t>
  </si>
  <si>
    <t>João Gardino - TRECHO 3</t>
  </si>
  <si>
    <t>João Gardino - TRECHO 4</t>
  </si>
  <si>
    <t>João Gardino - TRECHO 5</t>
  </si>
  <si>
    <t xml:space="preserve">TOTAL = </t>
  </si>
  <si>
    <t>Antônio Monteiro</t>
  </si>
  <si>
    <t>MIGUEL DE CASTRO MACHADO</t>
  </si>
  <si>
    <t>Gustavo Cunha - TRECHO 1</t>
  </si>
  <si>
    <t>TON</t>
  </si>
  <si>
    <t>Gustavo Cunha - TRECHO 2</t>
  </si>
  <si>
    <t>EXTENSÃO DOS CRUZAMENTOS SEM PASSEIO (m)</t>
  </si>
  <si>
    <t>TOTAL PASSEIO</t>
  </si>
  <si>
    <t>COMPOSIÇÃO</t>
  </si>
  <si>
    <t>DATA: 19/12/2017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</si>
</sst>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0_);_(* \(#,##0.000\);_(* &quot;-&quot;??_);_(@_)"/>
    <numFmt numFmtId="167" formatCode="_(* #,##0.000000000_);_(* \(#,##0.000000000\);_(* &quot;-&quot;??_);_(@_)"/>
    <numFmt numFmtId="168" formatCode="[$-416]mmmm\-yyyy;@"/>
    <numFmt numFmtId="169" formatCode="#,##0.00_ ;\-#,##0.00\ "/>
    <numFmt numFmtId="170" formatCode="General;General;"/>
    <numFmt numFmtId="171" formatCode="[$-F800]dddd\,\ mmmm\ dd\,\ yyyy"/>
    <numFmt numFmtId="172" formatCode="dd\ &quot;de&quot;\ mmmm\ &quot;de&quot;\ yyyy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4"/>
      <name val="Arial"/>
      <family val="2"/>
    </font>
    <font>
      <sz val="9"/>
      <name val="Arial"/>
      <family val="2"/>
    </font>
    <font>
      <sz val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2"/>
      <color rgb="FF222222"/>
      <name val="Times New Roman"/>
      <family val="1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9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u/>
      <sz val="15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sz val="10.5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614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6" borderId="1" xfId="0" applyFont="1" applyFill="1" applyBorder="1" applyAlignment="1">
      <alignment vertical="center"/>
    </xf>
    <xf numFmtId="0" fontId="2" fillId="6" borderId="5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165" fontId="0" fillId="0" borderId="0" xfId="5" applyFont="1" applyFill="1" applyBorder="1" applyAlignment="1">
      <alignment vertical="center"/>
    </xf>
    <xf numFmtId="165" fontId="2" fillId="6" borderId="12" xfId="5" applyFont="1" applyFill="1" applyBorder="1" applyAlignment="1">
      <alignment vertical="center"/>
    </xf>
    <xf numFmtId="165" fontId="0" fillId="0" borderId="0" xfId="0" applyNumberFormat="1"/>
    <xf numFmtId="165" fontId="13" fillId="0" borderId="0" xfId="5" applyFont="1" applyAlignment="1">
      <alignment vertical="center"/>
    </xf>
    <xf numFmtId="165" fontId="2" fillId="7" borderId="10" xfId="5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5" fontId="2" fillId="7" borderId="12" xfId="5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165" fontId="0" fillId="0" borderId="10" xfId="5" applyFon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165" fontId="0" fillId="0" borderId="15" xfId="5" applyFon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0" fontId="2" fillId="0" borderId="16" xfId="0" applyFont="1" applyBorder="1" applyAlignment="1">
      <alignment vertical="center"/>
    </xf>
    <xf numFmtId="165" fontId="2" fillId="0" borderId="16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165" fontId="2" fillId="6" borderId="10" xfId="5" applyFont="1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2" fillId="8" borderId="21" xfId="0" applyNumberFormat="1" applyFont="1" applyFill="1" applyBorder="1"/>
    <xf numFmtId="165" fontId="2" fillId="0" borderId="10" xfId="5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12" xfId="5" applyFont="1" applyFill="1" applyBorder="1" applyAlignment="1">
      <alignment vertical="center"/>
    </xf>
    <xf numFmtId="0" fontId="7" fillId="6" borderId="0" xfId="0" applyFont="1" applyFill="1" applyBorder="1" applyAlignment="1" applyProtection="1">
      <alignment horizontal="left" vertical="center"/>
    </xf>
    <xf numFmtId="0" fontId="7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left" vertical="center"/>
    </xf>
    <xf numFmtId="0" fontId="7" fillId="6" borderId="13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Continuous" vertical="center"/>
    </xf>
    <xf numFmtId="0" fontId="7" fillId="6" borderId="13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6" borderId="31" xfId="0" applyFont="1" applyFill="1" applyBorder="1" applyAlignment="1" applyProtection="1">
      <alignment horizontal="left" vertical="center"/>
    </xf>
    <xf numFmtId="10" fontId="7" fillId="6" borderId="30" xfId="0" applyNumberFormat="1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horizontal="center" vertical="center"/>
    </xf>
    <xf numFmtId="0" fontId="7" fillId="6" borderId="30" xfId="0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left" vertical="center"/>
    </xf>
    <xf numFmtId="10" fontId="7" fillId="6" borderId="32" xfId="0" applyNumberFormat="1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horizontal="left" vertical="center"/>
    </xf>
    <xf numFmtId="0" fontId="7" fillId="6" borderId="35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vertical="center"/>
    </xf>
    <xf numFmtId="0" fontId="8" fillId="3" borderId="26" xfId="0" applyFont="1" applyFill="1" applyBorder="1" applyAlignment="1" applyProtection="1">
      <alignment vertical="center"/>
    </xf>
    <xf numFmtId="0" fontId="8" fillId="3" borderId="36" xfId="0" applyFont="1" applyFill="1" applyBorder="1" applyAlignment="1" applyProtection="1">
      <alignment vertical="center"/>
    </xf>
    <xf numFmtId="0" fontId="8" fillId="3" borderId="2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vertical="center"/>
    </xf>
    <xf numFmtId="0" fontId="8" fillId="3" borderId="25" xfId="0" applyFont="1" applyFill="1" applyBorder="1" applyAlignment="1" applyProtection="1">
      <alignment vertical="center"/>
    </xf>
    <xf numFmtId="10" fontId="7" fillId="0" borderId="10" xfId="3" applyNumberFormat="1" applyFont="1" applyBorder="1" applyAlignment="1" applyProtection="1">
      <alignment vertical="center"/>
    </xf>
    <xf numFmtId="0" fontId="8" fillId="3" borderId="28" xfId="0" applyFont="1" applyFill="1" applyBorder="1" applyAlignment="1" applyProtection="1">
      <alignment vertical="center"/>
    </xf>
    <xf numFmtId="0" fontId="8" fillId="3" borderId="37" xfId="0" applyFont="1" applyFill="1" applyBorder="1" applyAlignment="1" applyProtection="1">
      <alignment vertical="center"/>
    </xf>
    <xf numFmtId="0" fontId="8" fillId="3" borderId="29" xfId="0" applyFont="1" applyFill="1" applyBorder="1" applyAlignment="1" applyProtection="1">
      <alignment vertical="center"/>
    </xf>
    <xf numFmtId="4" fontId="7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165" fontId="2" fillId="0" borderId="11" xfId="5" applyFont="1" applyFill="1" applyBorder="1" applyAlignment="1">
      <alignment vertical="center"/>
    </xf>
    <xf numFmtId="43" fontId="7" fillId="0" borderId="0" xfId="0" applyNumberFormat="1" applyFont="1" applyAlignment="1" applyProtection="1">
      <alignment vertical="center"/>
    </xf>
    <xf numFmtId="43" fontId="7" fillId="0" borderId="0" xfId="0" applyNumberFormat="1" applyFont="1" applyBorder="1" applyAlignment="1" applyProtection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8" fillId="0" borderId="10" xfId="0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165" fontId="4" fillId="6" borderId="10" xfId="5" applyFont="1" applyFill="1" applyBorder="1" applyAlignment="1">
      <alignment vertical="center"/>
    </xf>
    <xf numFmtId="165" fontId="7" fillId="0" borderId="0" xfId="0" applyNumberFormat="1" applyFont="1" applyAlignment="1" applyProtection="1">
      <alignment vertical="center"/>
    </xf>
    <xf numFmtId="0" fontId="7" fillId="0" borderId="10" xfId="2" applyNumberFormat="1" applyFont="1" applyFill="1" applyBorder="1" applyAlignment="1" applyProtection="1">
      <alignment vertical="center" wrapText="1"/>
      <protection locked="0"/>
    </xf>
    <xf numFmtId="4" fontId="2" fillId="0" borderId="10" xfId="0" applyNumberFormat="1" applyFont="1" applyFill="1" applyBorder="1" applyAlignment="1">
      <alignment vertical="center" wrapText="1"/>
    </xf>
    <xf numFmtId="2" fontId="2" fillId="0" borderId="10" xfId="0" applyNumberFormat="1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2" fillId="7" borderId="1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vertical="center" wrapText="1"/>
    </xf>
    <xf numFmtId="165" fontId="2" fillId="6" borderId="11" xfId="5" applyFont="1" applyFill="1" applyBorder="1" applyAlignment="1">
      <alignment vertical="center"/>
    </xf>
    <xf numFmtId="166" fontId="2" fillId="6" borderId="10" xfId="5" applyNumberFormat="1" applyFont="1" applyFill="1" applyBorder="1" applyAlignment="1">
      <alignment vertical="center"/>
    </xf>
    <xf numFmtId="165" fontId="2" fillId="6" borderId="24" xfId="5" applyFont="1" applyFill="1" applyBorder="1" applyAlignment="1">
      <alignment vertical="center"/>
    </xf>
    <xf numFmtId="165" fontId="2" fillId="6" borderId="14" xfId="5" applyFont="1" applyFill="1" applyBorder="1" applyAlignment="1">
      <alignment vertical="center"/>
    </xf>
    <xf numFmtId="166" fontId="2" fillId="0" borderId="10" xfId="5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8" fillId="0" borderId="21" xfId="0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5" fillId="0" borderId="0" xfId="0" applyFont="1"/>
    <xf numFmtId="43" fontId="0" fillId="0" borderId="0" xfId="0" applyNumberFormat="1"/>
    <xf numFmtId="0" fontId="1" fillId="0" borderId="0" xfId="0" applyFont="1"/>
    <xf numFmtId="2" fontId="4" fillId="6" borderId="10" xfId="5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/>
    </xf>
    <xf numFmtId="2" fontId="4" fillId="6" borderId="11" xfId="5" applyNumberFormat="1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0" fontId="2" fillId="6" borderId="10" xfId="0" applyFont="1" applyFill="1" applyBorder="1" applyAlignment="1">
      <alignment horizontal="center" vertical="center" wrapText="1"/>
    </xf>
    <xf numFmtId="165" fontId="1" fillId="6" borderId="10" xfId="5" applyFont="1" applyFill="1" applyBorder="1" applyAlignment="1">
      <alignment vertical="center"/>
    </xf>
    <xf numFmtId="165" fontId="2" fillId="8" borderId="10" xfId="5" applyFont="1" applyFill="1" applyBorder="1" applyAlignment="1">
      <alignment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165" fontId="1" fillId="9" borderId="10" xfId="5" applyFont="1" applyFill="1" applyBorder="1" applyAlignment="1">
      <alignment vertical="center"/>
    </xf>
    <xf numFmtId="0" fontId="0" fillId="9" borderId="10" xfId="0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 vertical="center" wrapText="1"/>
    </xf>
    <xf numFmtId="2" fontId="1" fillId="6" borderId="10" xfId="5" applyNumberFormat="1" applyFont="1" applyFill="1" applyBorder="1" applyAlignment="1">
      <alignment vertical="center"/>
    </xf>
    <xf numFmtId="2" fontId="1" fillId="6" borderId="10" xfId="5" applyNumberFormat="1" applyFont="1" applyFill="1" applyBorder="1" applyAlignment="1">
      <alignment horizontal="center" vertical="center"/>
    </xf>
    <xf numFmtId="2" fontId="1" fillId="6" borderId="1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2" fontId="1" fillId="6" borderId="11" xfId="5" applyNumberFormat="1" applyFont="1" applyFill="1" applyBorder="1" applyAlignment="1">
      <alignment horizontal="center" vertical="center"/>
    </xf>
    <xf numFmtId="165" fontId="1" fillId="9" borderId="11" xfId="5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5" fontId="2" fillId="8" borderId="10" xfId="5" applyFont="1" applyFill="1" applyBorder="1" applyAlignment="1">
      <alignment vertical="center"/>
    </xf>
    <xf numFmtId="0" fontId="6" fillId="6" borderId="70" xfId="0" applyFont="1" applyFill="1" applyBorder="1" applyAlignment="1">
      <alignment horizontal="center" vertical="center"/>
    </xf>
    <xf numFmtId="0" fontId="13" fillId="10" borderId="0" xfId="0" applyFont="1" applyFill="1" applyAlignment="1">
      <alignment vertical="center"/>
    </xf>
    <xf numFmtId="0" fontId="16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/>
    </xf>
    <xf numFmtId="0" fontId="16" fillId="9" borderId="10" xfId="0" applyFont="1" applyFill="1" applyBorder="1" applyAlignment="1"/>
    <xf numFmtId="165" fontId="2" fillId="6" borderId="21" xfId="0" applyNumberFormat="1" applyFont="1" applyFill="1" applyBorder="1"/>
    <xf numFmtId="165" fontId="2" fillId="6" borderId="10" xfId="0" applyNumberFormat="1" applyFont="1" applyFill="1" applyBorder="1"/>
    <xf numFmtId="0" fontId="7" fillId="6" borderId="35" xfId="0" applyFont="1" applyFill="1" applyBorder="1" applyAlignment="1" applyProtection="1">
      <alignment horizontal="right" vertical="center"/>
    </xf>
    <xf numFmtId="9" fontId="7" fillId="6" borderId="35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1" fillId="9" borderId="14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14" fontId="2" fillId="6" borderId="3" xfId="0" applyNumberFormat="1" applyFont="1" applyFill="1" applyBorder="1" applyAlignment="1">
      <alignment horizontal="right" vertical="center"/>
    </xf>
    <xf numFmtId="2" fontId="8" fillId="0" borderId="10" xfId="0" applyNumberFormat="1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 applyProtection="1">
      <alignment horizontal="left" vertical="center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0" fontId="11" fillId="11" borderId="39" xfId="0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11" fillId="11" borderId="32" xfId="0" applyFont="1" applyFill="1" applyBorder="1" applyAlignment="1" applyProtection="1">
      <alignment horizontal="center" vertical="center"/>
      <protection locked="0"/>
    </xf>
    <xf numFmtId="0" fontId="1" fillId="0" borderId="0" xfId="8" applyFont="1" applyProtection="1"/>
    <xf numFmtId="0" fontId="2" fillId="0" borderId="0" xfId="8" applyFont="1" applyAlignment="1" applyProtection="1">
      <alignment horizontal="center"/>
    </xf>
    <xf numFmtId="0" fontId="3" fillId="0" borderId="0" xfId="8" applyFont="1" applyAlignment="1" applyProtection="1">
      <alignment horizontal="center"/>
    </xf>
    <xf numFmtId="0" fontId="2" fillId="0" borderId="10" xfId="8" applyFont="1" applyBorder="1" applyAlignment="1" applyProtection="1">
      <alignment horizontal="center"/>
    </xf>
    <xf numFmtId="10" fontId="23" fillId="0" borderId="10" xfId="8" applyNumberFormat="1" applyFont="1" applyFill="1" applyBorder="1" applyAlignment="1" applyProtection="1">
      <alignment horizontal="center"/>
    </xf>
    <xf numFmtId="0" fontId="24" fillId="0" borderId="0" xfId="8" applyFont="1" applyAlignment="1" applyProtection="1"/>
    <xf numFmtId="0" fontId="2" fillId="0" borderId="0" xfId="8" applyFont="1" applyProtection="1"/>
    <xf numFmtId="0" fontId="2" fillId="0" borderId="10" xfId="8" applyFont="1" applyFill="1" applyBorder="1" applyAlignment="1" applyProtection="1">
      <alignment horizontal="center" vertical="center" wrapText="1"/>
    </xf>
    <xf numFmtId="0" fontId="19" fillId="0" borderId="10" xfId="8" applyFont="1" applyBorder="1" applyAlignment="1" applyProtection="1">
      <alignment horizontal="center" vertical="center"/>
    </xf>
    <xf numFmtId="10" fontId="19" fillId="12" borderId="10" xfId="8" applyNumberFormat="1" applyFont="1" applyFill="1" applyBorder="1" applyAlignment="1" applyProtection="1">
      <alignment horizontal="center" vertical="center"/>
      <protection locked="0"/>
    </xf>
    <xf numFmtId="4" fontId="6" fillId="0" borderId="10" xfId="8" applyNumberFormat="1" applyFont="1" applyFill="1" applyBorder="1" applyAlignment="1" applyProtection="1">
      <alignment horizontal="center" vertical="center"/>
    </xf>
    <xf numFmtId="10" fontId="19" fillId="0" borderId="10" xfId="8" applyNumberFormat="1" applyFont="1" applyFill="1" applyBorder="1" applyAlignment="1" applyProtection="1">
      <alignment horizontal="center" vertical="center"/>
    </xf>
    <xf numFmtId="10" fontId="19" fillId="0" borderId="10" xfId="8" applyNumberFormat="1" applyFont="1" applyFill="1" applyBorder="1" applyAlignment="1" applyProtection="1">
      <alignment horizontal="center" vertical="center" wrapText="1"/>
    </xf>
    <xf numFmtId="0" fontId="19" fillId="0" borderId="10" xfId="8" applyFont="1" applyFill="1" applyBorder="1" applyAlignment="1" applyProtection="1">
      <alignment horizontal="center" vertical="center" wrapText="1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25" fillId="0" borderId="0" xfId="8" applyFont="1" applyFill="1" applyBorder="1" applyAlignment="1" applyProtection="1">
      <alignment horizontal="center" vertical="center" wrapText="1"/>
    </xf>
    <xf numFmtId="10" fontId="25" fillId="0" borderId="0" xfId="8" applyNumberFormat="1" applyFont="1" applyFill="1" applyBorder="1" applyAlignment="1" applyProtection="1">
      <alignment horizontal="center" vertical="center"/>
    </xf>
    <xf numFmtId="4" fontId="6" fillId="0" borderId="0" xfId="8" applyNumberFormat="1" applyFont="1" applyFill="1" applyBorder="1" applyAlignment="1" applyProtection="1">
      <alignment horizontal="center" vertical="center" wrapText="1"/>
    </xf>
    <xf numFmtId="0" fontId="27" fillId="0" borderId="10" xfId="8" applyFont="1" applyBorder="1" applyAlignment="1" applyProtection="1">
      <alignment horizontal="center" vertical="center"/>
    </xf>
    <xf numFmtId="0" fontId="1" fillId="0" borderId="0" xfId="8" applyFont="1" applyBorder="1" applyAlignment="1" applyProtection="1">
      <alignment horizontal="center" vertical="top"/>
    </xf>
    <xf numFmtId="0" fontId="31" fillId="0" borderId="0" xfId="8" applyFont="1" applyBorder="1" applyAlignment="1" applyProtection="1">
      <alignment horizontal="center" vertical="top"/>
    </xf>
    <xf numFmtId="172" fontId="1" fillId="0" borderId="0" xfId="8" applyNumberFormat="1" applyFont="1" applyAlignment="1" applyProtection="1"/>
    <xf numFmtId="0" fontId="2" fillId="0" borderId="27" xfId="8" applyFont="1" applyBorder="1" applyAlignment="1" applyProtection="1">
      <alignment horizontal="left"/>
    </xf>
    <xf numFmtId="0" fontId="1" fillId="0" borderId="27" xfId="8" applyFont="1" applyBorder="1" applyProtection="1"/>
    <xf numFmtId="0" fontId="19" fillId="0" borderId="0" xfId="8" applyFont="1" applyBorder="1" applyProtection="1"/>
    <xf numFmtId="0" fontId="1" fillId="0" borderId="0" xfId="8" applyFont="1" applyBorder="1" applyProtection="1"/>
    <xf numFmtId="0" fontId="2" fillId="0" borderId="0" xfId="11" applyFont="1" applyBorder="1" applyAlignment="1" applyProtection="1">
      <alignment horizontal="left" vertical="top"/>
    </xf>
    <xf numFmtId="0" fontId="19" fillId="0" borderId="0" xfId="8" applyFont="1" applyProtection="1"/>
    <xf numFmtId="0" fontId="7" fillId="6" borderId="27" xfId="0" applyFont="1" applyFill="1" applyBorder="1" applyAlignment="1" applyProtection="1">
      <alignment horizontal="left" vertical="center"/>
    </xf>
    <xf numFmtId="0" fontId="7" fillId="6" borderId="27" xfId="0" applyFont="1" applyFill="1" applyBorder="1" applyAlignment="1" applyProtection="1">
      <alignment vertical="center"/>
    </xf>
    <xf numFmtId="0" fontId="7" fillId="6" borderId="29" xfId="0" applyFont="1" applyFill="1" applyBorder="1" applyAlignment="1" applyProtection="1">
      <alignment horizontal="left" vertical="center"/>
    </xf>
    <xf numFmtId="0" fontId="7" fillId="6" borderId="29" xfId="0" applyFont="1" applyFill="1" applyBorder="1" applyAlignment="1" applyProtection="1">
      <alignment vertical="center"/>
    </xf>
    <xf numFmtId="0" fontId="21" fillId="6" borderId="29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2" fontId="2" fillId="13" borderId="10" xfId="0" applyNumberFormat="1" applyFont="1" applyFill="1" applyBorder="1" applyAlignment="1">
      <alignment vertical="center" wrapText="1"/>
    </xf>
    <xf numFmtId="0" fontId="0" fillId="6" borderId="0" xfId="0" applyFill="1" applyBorder="1" applyAlignment="1" applyProtection="1">
      <alignment vertical="center"/>
    </xf>
    <xf numFmtId="0" fontId="0" fillId="6" borderId="27" xfId="0" applyFill="1" applyBorder="1" applyAlignment="1" applyProtection="1">
      <alignment vertical="center"/>
    </xf>
    <xf numFmtId="0" fontId="1" fillId="6" borderId="27" xfId="0" applyFont="1" applyFill="1" applyBorder="1" applyAlignment="1" applyProtection="1">
      <alignment vertical="center"/>
    </xf>
    <xf numFmtId="0" fontId="8" fillId="6" borderId="10" xfId="0" applyFont="1" applyFill="1" applyBorder="1" applyAlignment="1" applyProtection="1">
      <alignment vertical="center" wrapText="1"/>
      <protection locked="0"/>
    </xf>
    <xf numFmtId="0" fontId="8" fillId="7" borderId="10" xfId="0" applyFont="1" applyFill="1" applyBorder="1" applyAlignment="1" applyProtection="1">
      <alignment vertical="center" wrapText="1"/>
      <protection locked="0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vertical="center"/>
    </xf>
    <xf numFmtId="0" fontId="7" fillId="6" borderId="18" xfId="0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vertical="center"/>
    </xf>
    <xf numFmtId="0" fontId="8" fillId="6" borderId="1" xfId="0" applyFont="1" applyFill="1" applyBorder="1" applyAlignment="1" applyProtection="1">
      <alignment horizontal="left" vertical="center"/>
    </xf>
    <xf numFmtId="0" fontId="7" fillId="6" borderId="1" xfId="0" applyFont="1" applyFill="1" applyBorder="1" applyAlignment="1" applyProtection="1">
      <alignment horizontal="left" vertical="center"/>
    </xf>
    <xf numFmtId="0" fontId="10" fillId="6" borderId="1" xfId="0" applyFont="1" applyFill="1" applyBorder="1" applyAlignment="1" applyProtection="1">
      <alignment horizontal="left" vertical="center"/>
    </xf>
    <xf numFmtId="0" fontId="10" fillId="6" borderId="5" xfId="0" applyFont="1" applyFill="1" applyBorder="1" applyAlignment="1" applyProtection="1">
      <alignment vertical="center"/>
    </xf>
    <xf numFmtId="0" fontId="0" fillId="6" borderId="5" xfId="0" applyFill="1" applyBorder="1" applyAlignment="1" applyProtection="1">
      <alignment vertical="center"/>
    </xf>
    <xf numFmtId="0" fontId="7" fillId="6" borderId="63" xfId="0" applyFont="1" applyFill="1" applyBorder="1" applyAlignment="1" applyProtection="1">
      <alignment horizontal="left" vertical="center"/>
    </xf>
    <xf numFmtId="0" fontId="7" fillId="6" borderId="73" xfId="0" applyFont="1" applyFill="1" applyBorder="1" applyAlignment="1" applyProtection="1">
      <alignment vertical="center"/>
    </xf>
    <xf numFmtId="0" fontId="7" fillId="6" borderId="54" xfId="0" applyFont="1" applyFill="1" applyBorder="1" applyAlignment="1" applyProtection="1">
      <alignment horizontal="left" vertical="center"/>
    </xf>
    <xf numFmtId="0" fontId="7" fillId="6" borderId="72" xfId="0" applyFont="1" applyFill="1" applyBorder="1" applyAlignment="1" applyProtection="1">
      <alignment vertical="center"/>
    </xf>
    <xf numFmtId="0" fontId="7" fillId="6" borderId="74" xfId="0" applyFont="1" applyFill="1" applyBorder="1" applyAlignment="1" applyProtection="1">
      <alignment horizontal="left" vertical="center"/>
    </xf>
    <xf numFmtId="0" fontId="7" fillId="6" borderId="75" xfId="0" applyFont="1" applyFill="1" applyBorder="1" applyAlignment="1" applyProtection="1">
      <alignment horizontal="left" vertical="center"/>
    </xf>
    <xf numFmtId="0" fontId="7" fillId="6" borderId="76" xfId="0" applyFont="1" applyFill="1" applyBorder="1" applyAlignment="1" applyProtection="1">
      <alignment horizontal="left" vertical="center"/>
    </xf>
    <xf numFmtId="0" fontId="11" fillId="11" borderId="42" xfId="0" applyFont="1" applyFill="1" applyBorder="1" applyAlignment="1" applyProtection="1">
      <alignment horizontal="center" vertical="center"/>
      <protection locked="0"/>
    </xf>
    <xf numFmtId="0" fontId="7" fillId="11" borderId="42" xfId="0" applyFont="1" applyFill="1" applyBorder="1" applyAlignment="1" applyProtection="1">
      <alignment horizontal="center" vertical="center"/>
      <protection locked="0"/>
    </xf>
    <xf numFmtId="0" fontId="11" fillId="11" borderId="75" xfId="0" applyFont="1" applyFill="1" applyBorder="1" applyAlignment="1" applyProtection="1">
      <alignment vertical="center"/>
      <protection locked="0"/>
    </xf>
    <xf numFmtId="0" fontId="0" fillId="6" borderId="63" xfId="0" applyFill="1" applyBorder="1" applyAlignment="1" applyProtection="1">
      <alignment vertical="center"/>
    </xf>
    <xf numFmtId="0" fontId="0" fillId="6" borderId="73" xfId="0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0" fillId="6" borderId="6" xfId="0" applyFill="1" applyBorder="1" applyAlignment="1" applyProtection="1">
      <alignment vertical="center"/>
    </xf>
    <xf numFmtId="0" fontId="1" fillId="6" borderId="6" xfId="0" applyFont="1" applyFill="1" applyBorder="1" applyAlignment="1" applyProtection="1">
      <alignment vertical="center"/>
    </xf>
    <xf numFmtId="0" fontId="0" fillId="6" borderId="83" xfId="0" applyFill="1" applyBorder="1" applyAlignment="1" applyProtection="1">
      <alignment vertical="center"/>
    </xf>
    <xf numFmtId="0" fontId="8" fillId="9" borderId="42" xfId="0" applyFont="1" applyFill="1" applyBorder="1" applyAlignment="1" applyProtection="1">
      <alignment horizontal="center" vertical="center"/>
      <protection locked="0"/>
    </xf>
    <xf numFmtId="0" fontId="8" fillId="9" borderId="51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165" fontId="2" fillId="14" borderId="10" xfId="5" applyFont="1" applyFill="1" applyBorder="1" applyAlignment="1">
      <alignment vertical="center"/>
    </xf>
    <xf numFmtId="165" fontId="22" fillId="14" borderId="10" xfId="5" applyFont="1" applyFill="1" applyBorder="1" applyAlignment="1">
      <alignment vertical="center"/>
    </xf>
    <xf numFmtId="165" fontId="2" fillId="9" borderId="10" xfId="5" applyFont="1" applyFill="1" applyBorder="1" applyAlignment="1">
      <alignment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vertical="center" wrapText="1"/>
    </xf>
    <xf numFmtId="166" fontId="2" fillId="9" borderId="10" xfId="5" applyNumberFormat="1" applyFont="1" applyFill="1" applyBorder="1" applyAlignment="1">
      <alignment vertical="center"/>
    </xf>
    <xf numFmtId="165" fontId="2" fillId="9" borderId="12" xfId="5" applyFont="1" applyFill="1" applyBorder="1" applyAlignment="1">
      <alignment vertical="center"/>
    </xf>
    <xf numFmtId="0" fontId="2" fillId="9" borderId="14" xfId="0" applyFont="1" applyFill="1" applyBorder="1" applyAlignment="1">
      <alignment vertical="center" wrapText="1"/>
    </xf>
    <xf numFmtId="165" fontId="2" fillId="9" borderId="14" xfId="5" applyFont="1" applyFill="1" applyBorder="1" applyAlignment="1">
      <alignment vertical="center"/>
    </xf>
    <xf numFmtId="165" fontId="2" fillId="9" borderId="11" xfId="5" applyFont="1" applyFill="1" applyBorder="1" applyAlignment="1">
      <alignment vertical="center"/>
    </xf>
    <xf numFmtId="165" fontId="2" fillId="9" borderId="23" xfId="5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 wrapText="1"/>
    </xf>
    <xf numFmtId="4" fontId="2" fillId="9" borderId="10" xfId="0" applyNumberFormat="1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1" xfId="0" applyFont="1" applyFill="1" applyBorder="1" applyAlignment="1" applyProtection="1">
      <alignment vertical="center" wrapText="1"/>
      <protection locked="0"/>
    </xf>
    <xf numFmtId="0" fontId="8" fillId="9" borderId="10" xfId="0" applyFont="1" applyFill="1" applyBorder="1" applyAlignment="1" applyProtection="1">
      <alignment vertical="center" wrapText="1"/>
      <protection locked="0"/>
    </xf>
    <xf numFmtId="0" fontId="2" fillId="9" borderId="10" xfId="0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4" fontId="2" fillId="9" borderId="10" xfId="0" applyNumberFormat="1" applyFont="1" applyFill="1" applyBorder="1" applyAlignment="1">
      <alignment horizontal="left" vertical="center" wrapText="1"/>
    </xf>
    <xf numFmtId="165" fontId="2" fillId="13" borderId="10" xfId="5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4" fillId="3" borderId="63" xfId="0" applyFont="1" applyFill="1" applyBorder="1" applyAlignment="1" applyProtection="1">
      <alignment vertical="center"/>
    </xf>
    <xf numFmtId="0" fontId="34" fillId="3" borderId="27" xfId="0" applyFont="1" applyFill="1" applyBorder="1" applyAlignment="1" applyProtection="1">
      <alignment vertical="center"/>
    </xf>
    <xf numFmtId="0" fontId="17" fillId="3" borderId="36" xfId="0" applyFont="1" applyFill="1" applyBorder="1" applyAlignment="1" applyProtection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10" borderId="0" xfId="0" applyFont="1" applyFill="1" applyAlignment="1">
      <alignment horizontal="right" vertical="center"/>
    </xf>
    <xf numFmtId="0" fontId="2" fillId="6" borderId="16" xfId="0" applyFont="1" applyFill="1" applyBorder="1" applyAlignment="1">
      <alignment horizontal="center" vertical="center"/>
    </xf>
    <xf numFmtId="0" fontId="7" fillId="6" borderId="21" xfId="0" applyFont="1" applyFill="1" applyBorder="1" applyAlignment="1" applyProtection="1">
      <alignment vertical="center" wrapText="1"/>
      <protection locked="0"/>
    </xf>
    <xf numFmtId="0" fontId="2" fillId="6" borderId="11" xfId="0" applyFont="1" applyFill="1" applyBorder="1" applyAlignment="1">
      <alignment horizontal="center" vertical="center" wrapText="1"/>
    </xf>
    <xf numFmtId="165" fontId="2" fillId="8" borderId="11" xfId="5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2" fillId="6" borderId="10" xfId="0" applyFont="1" applyFill="1" applyBorder="1" applyAlignment="1">
      <alignment horizontal="right" vertical="center"/>
    </xf>
    <xf numFmtId="0" fontId="0" fillId="6" borderId="20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0" fontId="0" fillId="6" borderId="29" xfId="0" applyFill="1" applyBorder="1" applyAlignment="1">
      <alignment vertical="center"/>
    </xf>
    <xf numFmtId="0" fontId="0" fillId="6" borderId="40" xfId="0" applyFill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6" borderId="84" xfId="0" applyFont="1" applyFill="1" applyBorder="1" applyAlignment="1">
      <alignment horizontal="center" vertical="center"/>
    </xf>
    <xf numFmtId="0" fontId="2" fillId="6" borderId="85" xfId="0" applyFont="1" applyFill="1" applyBorder="1" applyAlignment="1">
      <alignment horizontal="center" vertical="center"/>
    </xf>
    <xf numFmtId="165" fontId="2" fillId="9" borderId="68" xfId="0" applyNumberFormat="1" applyFont="1" applyFill="1" applyBorder="1"/>
    <xf numFmtId="0" fontId="6" fillId="6" borderId="70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0" fontId="16" fillId="6" borderId="10" xfId="0" applyFont="1" applyFill="1" applyBorder="1" applyAlignment="1"/>
    <xf numFmtId="2" fontId="1" fillId="6" borderId="10" xfId="0" applyNumberFormat="1" applyFont="1" applyFill="1" applyBorder="1" applyAlignment="1">
      <alignment horizontal="center"/>
    </xf>
    <xf numFmtId="2" fontId="22" fillId="6" borderId="10" xfId="5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right" vertical="center"/>
    </xf>
    <xf numFmtId="165" fontId="2" fillId="6" borderId="10" xfId="5" applyFont="1" applyFill="1" applyBorder="1" applyAlignment="1">
      <alignment horizontal="center" vertical="center"/>
    </xf>
    <xf numFmtId="2" fontId="2" fillId="6" borderId="10" xfId="0" applyNumberFormat="1" applyFont="1" applyFill="1" applyBorder="1" applyAlignment="1">
      <alignment horizontal="right" vertical="center" wrapText="1"/>
    </xf>
    <xf numFmtId="2" fontId="2" fillId="6" borderId="11" xfId="5" applyNumberFormat="1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vertical="center"/>
    </xf>
    <xf numFmtId="0" fontId="33" fillId="3" borderId="63" xfId="0" applyFont="1" applyFill="1" applyBorder="1" applyAlignment="1" applyProtection="1">
      <alignment horizontal="center" vertical="center"/>
    </xf>
    <xf numFmtId="0" fontId="33" fillId="3" borderId="27" xfId="0" applyFont="1" applyFill="1" applyBorder="1" applyAlignment="1" applyProtection="1">
      <alignment horizontal="center" vertical="center"/>
    </xf>
    <xf numFmtId="0" fontId="33" fillId="3" borderId="36" xfId="0" applyFont="1" applyFill="1" applyBorder="1" applyAlignment="1" applyProtection="1">
      <alignment horizontal="center" vertical="center"/>
    </xf>
    <xf numFmtId="0" fontId="33" fillId="3" borderId="54" xfId="0" applyFont="1" applyFill="1" applyBorder="1" applyAlignment="1" applyProtection="1">
      <alignment horizontal="center" vertical="center"/>
    </xf>
    <xf numFmtId="0" fontId="33" fillId="3" borderId="29" xfId="0" applyFont="1" applyFill="1" applyBorder="1" applyAlignment="1" applyProtection="1">
      <alignment horizontal="center" vertical="center"/>
    </xf>
    <xf numFmtId="0" fontId="33" fillId="3" borderId="37" xfId="0" applyFont="1" applyFill="1" applyBorder="1" applyAlignment="1" applyProtection="1">
      <alignment horizontal="center" vertical="center"/>
    </xf>
    <xf numFmtId="165" fontId="7" fillId="0" borderId="0" xfId="5" applyFont="1" applyFill="1" applyBorder="1" applyAlignment="1" applyProtection="1">
      <alignment horizontal="right" vertical="center"/>
      <protection locked="0"/>
    </xf>
    <xf numFmtId="4" fontId="7" fillId="0" borderId="0" xfId="5" applyNumberFormat="1" applyFont="1" applyFill="1" applyBorder="1" applyAlignment="1" applyProtection="1">
      <alignment horizontal="right" vertical="center"/>
      <protection locked="0"/>
    </xf>
    <xf numFmtId="4" fontId="14" fillId="0" borderId="0" xfId="5" applyNumberFormat="1" applyFont="1" applyFill="1" applyBorder="1" applyAlignment="1" applyProtection="1">
      <alignment horizontal="right" vertical="center"/>
      <protection locked="0"/>
    </xf>
    <xf numFmtId="4" fontId="7" fillId="0" borderId="0" xfId="5" applyNumberFormat="1" applyFont="1" applyFill="1" applyBorder="1" applyAlignment="1" applyProtection="1">
      <alignment horizontal="center" vertical="center"/>
      <protection locked="0"/>
    </xf>
    <xf numFmtId="0" fontId="17" fillId="4" borderId="54" xfId="0" applyFont="1" applyFill="1" applyBorder="1" applyAlignment="1" applyProtection="1">
      <alignment horizontal="left" vertical="center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37" xfId="0" applyFont="1" applyFill="1" applyBorder="1" applyAlignment="1" applyProtection="1">
      <alignment horizontal="left" vertical="center"/>
      <protection locked="0"/>
    </xf>
    <xf numFmtId="168" fontId="17" fillId="4" borderId="28" xfId="0" applyNumberFormat="1" applyFont="1" applyFill="1" applyBorder="1" applyAlignment="1" applyProtection="1">
      <alignment horizontal="left" vertical="center"/>
      <protection locked="0"/>
    </xf>
    <xf numFmtId="168" fontId="17" fillId="4" borderId="29" xfId="0" applyNumberFormat="1" applyFont="1" applyFill="1" applyBorder="1" applyAlignment="1" applyProtection="1">
      <alignment horizontal="left" vertical="center"/>
      <protection locked="0"/>
    </xf>
    <xf numFmtId="168" fontId="17" fillId="4" borderId="37" xfId="0" applyNumberFormat="1" applyFont="1" applyFill="1" applyBorder="1" applyAlignment="1" applyProtection="1">
      <alignment horizontal="left" vertical="center"/>
      <protection locked="0"/>
    </xf>
    <xf numFmtId="168" fontId="17" fillId="9" borderId="28" xfId="0" applyNumberFormat="1" applyFont="1" applyFill="1" applyBorder="1" applyAlignment="1" applyProtection="1">
      <alignment horizontal="left" vertical="center"/>
      <protection locked="0"/>
    </xf>
    <xf numFmtId="168" fontId="17" fillId="9" borderId="29" xfId="0" applyNumberFormat="1" applyFont="1" applyFill="1" applyBorder="1" applyAlignment="1" applyProtection="1">
      <alignment horizontal="left" vertical="center"/>
      <protection locked="0"/>
    </xf>
    <xf numFmtId="168" fontId="17" fillId="9" borderId="72" xfId="0" applyNumberFormat="1" applyFont="1" applyFill="1" applyBorder="1" applyAlignment="1" applyProtection="1">
      <alignment horizontal="left" vertical="center"/>
      <protection locked="0"/>
    </xf>
    <xf numFmtId="0" fontId="8" fillId="3" borderId="26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21" fillId="3" borderId="56" xfId="0" applyFont="1" applyFill="1" applyBorder="1" applyAlignment="1" applyProtection="1">
      <alignment horizontal="right" vertical="center"/>
    </xf>
    <xf numFmtId="0" fontId="21" fillId="3" borderId="27" xfId="0" applyFont="1" applyFill="1" applyBorder="1" applyAlignment="1" applyProtection="1">
      <alignment horizontal="right" vertical="center"/>
    </xf>
    <xf numFmtId="0" fontId="21" fillId="3" borderId="36" xfId="0" applyFont="1" applyFill="1" applyBorder="1" applyAlignment="1" applyProtection="1">
      <alignment horizontal="right" vertical="center"/>
    </xf>
    <xf numFmtId="0" fontId="21" fillId="3" borderId="57" xfId="0" applyFont="1" applyFill="1" applyBorder="1" applyAlignment="1" applyProtection="1">
      <alignment horizontal="right" vertical="center"/>
    </xf>
    <xf numFmtId="0" fontId="21" fillId="3" borderId="29" xfId="0" applyFont="1" applyFill="1" applyBorder="1" applyAlignment="1" applyProtection="1">
      <alignment horizontal="right" vertical="center"/>
    </xf>
    <xf numFmtId="0" fontId="21" fillId="3" borderId="37" xfId="0" applyFont="1" applyFill="1" applyBorder="1" applyAlignment="1" applyProtection="1">
      <alignment horizontal="right" vertical="center"/>
    </xf>
    <xf numFmtId="10" fontId="21" fillId="5" borderId="26" xfId="3" applyNumberFormat="1" applyFont="1" applyFill="1" applyBorder="1" applyAlignment="1" applyProtection="1">
      <alignment horizontal="center" vertical="center"/>
    </xf>
    <xf numFmtId="10" fontId="21" fillId="5" borderId="27" xfId="3" applyNumberFormat="1" applyFont="1" applyFill="1" applyBorder="1" applyAlignment="1" applyProtection="1">
      <alignment horizontal="center" vertical="center"/>
    </xf>
    <xf numFmtId="10" fontId="21" fillId="5" borderId="73" xfId="3" applyNumberFormat="1" applyFont="1" applyFill="1" applyBorder="1" applyAlignment="1" applyProtection="1">
      <alignment horizontal="center" vertical="center"/>
    </xf>
    <xf numFmtId="10" fontId="21" fillId="5" borderId="28" xfId="3" applyNumberFormat="1" applyFont="1" applyFill="1" applyBorder="1" applyAlignment="1" applyProtection="1">
      <alignment horizontal="center" vertical="center"/>
    </xf>
    <xf numFmtId="10" fontId="21" fillId="5" borderId="29" xfId="3" applyNumberFormat="1" applyFont="1" applyFill="1" applyBorder="1" applyAlignment="1" applyProtection="1">
      <alignment horizontal="center" vertical="center"/>
    </xf>
    <xf numFmtId="10" fontId="21" fillId="5" borderId="72" xfId="3" applyNumberFormat="1" applyFont="1" applyFill="1" applyBorder="1" applyAlignment="1" applyProtection="1">
      <alignment horizontal="center" vertical="center"/>
    </xf>
    <xf numFmtId="10" fontId="7" fillId="6" borderId="31" xfId="0" applyNumberFormat="1" applyFont="1" applyFill="1" applyBorder="1" applyAlignment="1" applyProtection="1">
      <alignment horizontal="center" vertical="center"/>
    </xf>
    <xf numFmtId="0" fontId="8" fillId="3" borderId="71" xfId="0" applyFont="1" applyFill="1" applyBorder="1" applyAlignment="1" applyProtection="1">
      <alignment horizontal="center" vertical="center" textRotation="90"/>
    </xf>
    <xf numFmtId="0" fontId="8" fillId="3" borderId="77" xfId="0" applyFont="1" applyFill="1" applyBorder="1" applyAlignment="1" applyProtection="1">
      <alignment horizontal="center" vertical="center" textRotation="90"/>
    </xf>
    <xf numFmtId="0" fontId="8" fillId="3" borderId="78" xfId="0" applyFont="1" applyFill="1" applyBorder="1" applyAlignment="1" applyProtection="1">
      <alignment horizontal="center" vertical="center" textRotation="90"/>
    </xf>
    <xf numFmtId="0" fontId="8" fillId="3" borderId="36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 applyProtection="1">
      <alignment horizontal="center" vertical="center"/>
    </xf>
    <xf numFmtId="169" fontId="8" fillId="3" borderId="26" xfId="0" applyNumberFormat="1" applyFont="1" applyFill="1" applyBorder="1" applyAlignment="1" applyProtection="1">
      <alignment horizontal="center" vertical="center"/>
    </xf>
    <xf numFmtId="169" fontId="8" fillId="3" borderId="27" xfId="0" applyNumberFormat="1" applyFont="1" applyFill="1" applyBorder="1" applyAlignment="1" applyProtection="1">
      <alignment horizontal="center" vertical="center"/>
    </xf>
    <xf numFmtId="169" fontId="8" fillId="3" borderId="36" xfId="0" applyNumberFormat="1" applyFont="1" applyFill="1" applyBorder="1" applyAlignment="1" applyProtection="1">
      <alignment horizontal="center" vertical="center"/>
    </xf>
    <xf numFmtId="169" fontId="8" fillId="3" borderId="13" xfId="0" applyNumberFormat="1" applyFont="1" applyFill="1" applyBorder="1" applyAlignment="1" applyProtection="1">
      <alignment horizontal="center" vertical="center"/>
    </xf>
    <xf numFmtId="169" fontId="8" fillId="3" borderId="0" xfId="0" applyNumberFormat="1" applyFont="1" applyFill="1" applyBorder="1" applyAlignment="1" applyProtection="1">
      <alignment horizontal="center" vertical="center"/>
    </xf>
    <xf numFmtId="169" fontId="8" fillId="3" borderId="25" xfId="0" applyNumberFormat="1" applyFont="1" applyFill="1" applyBorder="1" applyAlignment="1" applyProtection="1">
      <alignment horizontal="center" vertical="center"/>
    </xf>
    <xf numFmtId="169" fontId="8" fillId="3" borderId="28" xfId="0" applyNumberFormat="1" applyFont="1" applyFill="1" applyBorder="1" applyAlignment="1" applyProtection="1">
      <alignment horizontal="center" vertical="center"/>
    </xf>
    <xf numFmtId="169" fontId="8" fillId="3" borderId="29" xfId="0" applyNumberFormat="1" applyFont="1" applyFill="1" applyBorder="1" applyAlignment="1" applyProtection="1">
      <alignment horizontal="center" vertical="center"/>
    </xf>
    <xf numFmtId="169" fontId="8" fillId="3" borderId="37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72" xfId="0" applyFont="1" applyFill="1" applyBorder="1" applyAlignment="1" applyProtection="1">
      <alignment horizontal="center" vertical="center"/>
    </xf>
    <xf numFmtId="10" fontId="7" fillId="6" borderId="34" xfId="0" applyNumberFormat="1" applyFont="1" applyFill="1" applyBorder="1" applyAlignment="1" applyProtection="1">
      <alignment horizontal="center" vertical="center"/>
    </xf>
    <xf numFmtId="10" fontId="7" fillId="6" borderId="35" xfId="0" applyNumberFormat="1" applyFont="1" applyFill="1" applyBorder="1" applyAlignment="1" applyProtection="1">
      <alignment horizontal="center" vertical="center"/>
    </xf>
    <xf numFmtId="10" fontId="7" fillId="6" borderId="55" xfId="0" applyNumberFormat="1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right" vertical="center"/>
    </xf>
    <xf numFmtId="0" fontId="21" fillId="4" borderId="54" xfId="0" applyFont="1" applyFill="1" applyBorder="1" applyAlignment="1" applyProtection="1">
      <alignment horizontal="left" vertical="center"/>
      <protection locked="0"/>
    </xf>
    <xf numFmtId="0" fontId="21" fillId="4" borderId="29" xfId="0" applyFont="1" applyFill="1" applyBorder="1" applyAlignment="1" applyProtection="1">
      <alignment horizontal="left" vertical="center"/>
      <protection locked="0"/>
    </xf>
    <xf numFmtId="0" fontId="21" fillId="4" borderId="37" xfId="0" applyFont="1" applyFill="1" applyBorder="1" applyAlignment="1" applyProtection="1">
      <alignment horizontal="left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72" xfId="0" applyFont="1" applyFill="1" applyBorder="1" applyAlignment="1" applyProtection="1">
      <alignment horizontal="center" vertical="center"/>
      <protection locked="0"/>
    </xf>
    <xf numFmtId="0" fontId="21" fillId="4" borderId="54" xfId="0" applyFont="1" applyFill="1" applyBorder="1" applyAlignment="1" applyProtection="1">
      <alignment horizontal="left" vertical="center" wrapText="1"/>
      <protection locked="0"/>
    </xf>
    <xf numFmtId="0" fontId="21" fillId="4" borderId="29" xfId="0" applyFont="1" applyFill="1" applyBorder="1" applyAlignment="1" applyProtection="1">
      <alignment horizontal="left" vertical="center" wrapText="1"/>
      <protection locked="0"/>
    </xf>
    <xf numFmtId="0" fontId="21" fillId="4" borderId="37" xfId="0" applyFont="1" applyFill="1" applyBorder="1" applyAlignment="1" applyProtection="1">
      <alignment horizontal="left" vertical="center" wrapText="1"/>
      <protection locked="0"/>
    </xf>
    <xf numFmtId="0" fontId="21" fillId="4" borderId="28" xfId="0" applyFont="1" applyFill="1" applyBorder="1" applyAlignment="1" applyProtection="1">
      <alignment horizontal="left" vertical="center"/>
      <protection locked="0"/>
    </xf>
    <xf numFmtId="0" fontId="21" fillId="4" borderId="28" xfId="0" applyFont="1" applyFill="1" applyBorder="1" applyAlignment="1" applyProtection="1">
      <alignment horizontal="center" vertical="center"/>
      <protection locked="0"/>
    </xf>
    <xf numFmtId="0" fontId="21" fillId="4" borderId="72" xfId="0" applyFont="1" applyFill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left" vertical="center" wrapText="1"/>
    </xf>
    <xf numFmtId="0" fontId="19" fillId="0" borderId="73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left" vertical="center" wrapText="1"/>
    </xf>
    <xf numFmtId="0" fontId="19" fillId="0" borderId="29" xfId="0" applyFont="1" applyBorder="1" applyAlignment="1" applyProtection="1">
      <alignment horizontal="left" vertical="center" wrapText="1"/>
    </xf>
    <xf numFmtId="0" fontId="19" fillId="0" borderId="72" xfId="0" applyFont="1" applyBorder="1" applyAlignment="1" applyProtection="1">
      <alignment horizontal="left" vertical="center" wrapText="1"/>
    </xf>
    <xf numFmtId="10" fontId="7" fillId="6" borderId="33" xfId="0" applyNumberFormat="1" applyFont="1" applyFill="1" applyBorder="1" applyAlignment="1" applyProtection="1">
      <alignment horizontal="center" vertical="center"/>
    </xf>
    <xf numFmtId="10" fontId="7" fillId="6" borderId="39" xfId="0" applyNumberFormat="1" applyFont="1" applyFill="1" applyBorder="1" applyAlignment="1" applyProtection="1">
      <alignment horizontal="center" vertical="center"/>
    </xf>
    <xf numFmtId="10" fontId="7" fillId="4" borderId="33" xfId="3" applyNumberFormat="1" applyFont="1" applyFill="1" applyBorder="1" applyAlignment="1" applyProtection="1">
      <alignment horizontal="right" vertical="center"/>
      <protection locked="0"/>
    </xf>
    <xf numFmtId="10" fontId="7" fillId="4" borderId="39" xfId="3" applyNumberFormat="1" applyFont="1" applyFill="1" applyBorder="1" applyAlignment="1" applyProtection="1">
      <alignment horizontal="right" vertical="center"/>
      <protection locked="0"/>
    </xf>
    <xf numFmtId="10" fontId="7" fillId="6" borderId="52" xfId="0" applyNumberFormat="1" applyFont="1" applyFill="1" applyBorder="1" applyAlignment="1" applyProtection="1">
      <alignment horizontal="center" vertical="center"/>
    </xf>
    <xf numFmtId="10" fontId="7" fillId="4" borderId="31" xfId="3" applyNumberFormat="1" applyFont="1" applyFill="1" applyBorder="1" applyAlignment="1" applyProtection="1">
      <alignment horizontal="right" vertical="center"/>
      <protection locked="0"/>
    </xf>
    <xf numFmtId="10" fontId="7" fillId="4" borderId="52" xfId="3" applyNumberFormat="1" applyFont="1" applyFill="1" applyBorder="1" applyAlignment="1" applyProtection="1">
      <alignment horizontal="right" vertical="center"/>
      <protection locked="0"/>
    </xf>
    <xf numFmtId="10" fontId="7" fillId="4" borderId="35" xfId="3" applyNumberFormat="1" applyFont="1" applyFill="1" applyBorder="1" applyAlignment="1" applyProtection="1">
      <alignment horizontal="right" vertical="center"/>
      <protection locked="0"/>
    </xf>
    <xf numFmtId="10" fontId="7" fillId="4" borderId="55" xfId="3" applyNumberFormat="1" applyFont="1" applyFill="1" applyBorder="1" applyAlignment="1" applyProtection="1">
      <alignment horizontal="right" vertical="center"/>
      <protection locked="0"/>
    </xf>
    <xf numFmtId="49" fontId="11" fillId="9" borderId="30" xfId="0" applyNumberFormat="1" applyFont="1" applyFill="1" applyBorder="1" applyAlignment="1" applyProtection="1">
      <alignment horizontal="center" vertical="center"/>
      <protection locked="0"/>
    </xf>
    <xf numFmtId="49" fontId="11" fillId="9" borderId="52" xfId="0" applyNumberFormat="1" applyFont="1" applyFill="1" applyBorder="1" applyAlignment="1" applyProtection="1">
      <alignment horizontal="center" vertical="center"/>
      <protection locked="0"/>
    </xf>
    <xf numFmtId="4" fontId="8" fillId="9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9" borderId="31" xfId="0" applyFont="1" applyFill="1" applyBorder="1" applyAlignment="1" applyProtection="1">
      <alignment horizontal="left" vertical="center" wrapText="1"/>
      <protection locked="0"/>
    </xf>
    <xf numFmtId="0" fontId="8" fillId="9" borderId="52" xfId="0" applyFont="1" applyFill="1" applyBorder="1" applyAlignment="1" applyProtection="1">
      <alignment horizontal="left" vertical="center" wrapText="1"/>
      <protection locked="0"/>
    </xf>
    <xf numFmtId="0" fontId="11" fillId="9" borderId="30" xfId="0" applyFont="1" applyFill="1" applyBorder="1" applyAlignment="1" applyProtection="1">
      <alignment horizontal="center" vertical="center"/>
      <protection locked="0"/>
    </xf>
    <xf numFmtId="0" fontId="11" fillId="9" borderId="52" xfId="0" applyFont="1" applyFill="1" applyBorder="1" applyAlignment="1" applyProtection="1">
      <alignment horizontal="center" vertical="center"/>
      <protection locked="0"/>
    </xf>
    <xf numFmtId="4" fontId="11" fillId="9" borderId="32" xfId="0" applyNumberFormat="1" applyFont="1" applyFill="1" applyBorder="1" applyAlignment="1" applyProtection="1">
      <alignment horizontal="right" vertical="center"/>
      <protection locked="0"/>
    </xf>
    <xf numFmtId="4" fontId="11" fillId="9" borderId="33" xfId="0" applyNumberFormat="1" applyFont="1" applyFill="1" applyBorder="1" applyAlignment="1" applyProtection="1">
      <alignment horizontal="right" vertical="center"/>
      <protection locked="0"/>
    </xf>
    <xf numFmtId="4" fontId="11" fillId="9" borderId="39" xfId="0" applyNumberFormat="1" applyFont="1" applyFill="1" applyBorder="1" applyAlignment="1" applyProtection="1">
      <alignment horizontal="right" vertical="center"/>
      <protection locked="0"/>
    </xf>
    <xf numFmtId="4" fontId="18" fillId="9" borderId="48" xfId="5" applyNumberFormat="1" applyFont="1" applyFill="1" applyBorder="1" applyAlignment="1" applyProtection="1">
      <alignment horizontal="right" vertical="center"/>
      <protection locked="0"/>
    </xf>
    <xf numFmtId="4" fontId="18" fillId="9" borderId="49" xfId="5" applyNumberFormat="1" applyFont="1" applyFill="1" applyBorder="1" applyAlignment="1" applyProtection="1">
      <alignment horizontal="right" vertical="center"/>
      <protection locked="0"/>
    </xf>
    <xf numFmtId="4" fontId="18" fillId="9" borderId="53" xfId="5" applyNumberFormat="1" applyFont="1" applyFill="1" applyBorder="1" applyAlignment="1" applyProtection="1">
      <alignment horizontal="right" vertical="center"/>
      <protection locked="0"/>
    </xf>
    <xf numFmtId="4" fontId="7" fillId="9" borderId="48" xfId="5" applyNumberFormat="1" applyFont="1" applyFill="1" applyBorder="1" applyAlignment="1" applyProtection="1">
      <alignment horizontal="right" vertical="center"/>
    </xf>
    <xf numFmtId="4" fontId="7" fillId="9" borderId="49" xfId="5" applyNumberFormat="1" applyFont="1" applyFill="1" applyBorder="1" applyAlignment="1" applyProtection="1">
      <alignment horizontal="right" vertical="center"/>
    </xf>
    <xf numFmtId="4" fontId="7" fillId="9" borderId="50" xfId="5" applyNumberFormat="1" applyFont="1" applyFill="1" applyBorder="1" applyAlignment="1" applyProtection="1">
      <alignment horizontal="right" vertical="center"/>
    </xf>
    <xf numFmtId="4" fontId="11" fillId="5" borderId="23" xfId="5" applyNumberFormat="1" applyFont="1" applyFill="1" applyBorder="1" applyAlignment="1" applyProtection="1">
      <alignment horizontal="right" vertical="center"/>
    </xf>
    <xf numFmtId="4" fontId="11" fillId="5" borderId="80" xfId="5" applyNumberFormat="1" applyFont="1" applyFill="1" applyBorder="1" applyAlignment="1" applyProtection="1">
      <alignment horizontal="right" vertical="center"/>
    </xf>
    <xf numFmtId="0" fontId="8" fillId="11" borderId="32" xfId="0" applyFont="1" applyFill="1" applyBorder="1" applyAlignment="1" applyProtection="1">
      <alignment horizontal="right" vertical="center" wrapText="1"/>
      <protection locked="0"/>
    </xf>
    <xf numFmtId="0" fontId="8" fillId="11" borderId="33" xfId="0" applyFont="1" applyFill="1" applyBorder="1" applyAlignment="1" applyProtection="1">
      <alignment horizontal="right" vertical="center" wrapText="1"/>
      <protection locked="0"/>
    </xf>
    <xf numFmtId="0" fontId="8" fillId="11" borderId="39" xfId="0" applyFont="1" applyFill="1" applyBorder="1" applyAlignment="1" applyProtection="1">
      <alignment horizontal="right" vertical="center" wrapText="1"/>
      <protection locked="0"/>
    </xf>
    <xf numFmtId="4" fontId="18" fillId="0" borderId="32" xfId="5" applyNumberFormat="1" applyFont="1" applyFill="1" applyBorder="1" applyAlignment="1" applyProtection="1">
      <alignment horizontal="center" vertical="center"/>
      <protection locked="0"/>
    </xf>
    <xf numFmtId="4" fontId="18" fillId="0" borderId="33" xfId="5" applyNumberFormat="1" applyFont="1" applyFill="1" applyBorder="1" applyAlignment="1" applyProtection="1">
      <alignment horizontal="center" vertical="center"/>
      <protection locked="0"/>
    </xf>
    <xf numFmtId="4" fontId="8" fillId="0" borderId="44" xfId="5" applyNumberFormat="1" applyFont="1" applyFill="1" applyBorder="1" applyAlignment="1" applyProtection="1">
      <alignment horizontal="right" vertical="center"/>
    </xf>
    <xf numFmtId="4" fontId="8" fillId="0" borderId="45" xfId="5" applyNumberFormat="1" applyFont="1" applyFill="1" applyBorder="1" applyAlignment="1" applyProtection="1">
      <alignment horizontal="right" vertical="center"/>
    </xf>
    <xf numFmtId="4" fontId="8" fillId="0" borderId="47" xfId="5" applyNumberFormat="1" applyFont="1" applyFill="1" applyBorder="1" applyAlignment="1" applyProtection="1">
      <alignment horizontal="right" vertical="center"/>
    </xf>
    <xf numFmtId="4" fontId="11" fillId="5" borderId="42" xfId="5" applyNumberFormat="1" applyFont="1" applyFill="1" applyBorder="1" applyAlignment="1" applyProtection="1">
      <alignment horizontal="right" vertical="center"/>
    </xf>
    <xf numFmtId="4" fontId="8" fillId="5" borderId="32" xfId="5" applyNumberFormat="1" applyFont="1" applyFill="1" applyBorder="1" applyAlignment="1" applyProtection="1">
      <alignment horizontal="right" vertical="center"/>
    </xf>
    <xf numFmtId="4" fontId="8" fillId="5" borderId="33" xfId="5" applyNumberFormat="1" applyFont="1" applyFill="1" applyBorder="1" applyAlignment="1" applyProtection="1">
      <alignment horizontal="right" vertical="center"/>
    </xf>
    <xf numFmtId="4" fontId="8" fillId="5" borderId="81" xfId="5" applyNumberFormat="1" applyFont="1" applyFill="1" applyBorder="1" applyAlignment="1" applyProtection="1">
      <alignment horizontal="right" vertical="center"/>
    </xf>
    <xf numFmtId="4" fontId="11" fillId="9" borderId="51" xfId="5" applyNumberFormat="1" applyFont="1" applyFill="1" applyBorder="1" applyAlignment="1" applyProtection="1">
      <alignment horizontal="right" vertical="center"/>
    </xf>
    <xf numFmtId="4" fontId="11" fillId="9" borderId="38" xfId="5" applyNumberFormat="1" applyFont="1" applyFill="1" applyBorder="1" applyAlignment="1" applyProtection="1">
      <alignment horizontal="right" vertical="center"/>
    </xf>
    <xf numFmtId="4" fontId="11" fillId="9" borderId="79" xfId="5" applyNumberFormat="1" applyFont="1" applyFill="1" applyBorder="1" applyAlignment="1" applyProtection="1">
      <alignment horizontal="right" vertical="center"/>
    </xf>
    <xf numFmtId="0" fontId="7" fillId="11" borderId="32" xfId="0" applyNumberFormat="1" applyFont="1" applyFill="1" applyBorder="1" applyAlignment="1" applyProtection="1">
      <alignment horizontal="center" vertical="center"/>
      <protection locked="0"/>
    </xf>
    <xf numFmtId="0" fontId="11" fillId="11" borderId="39" xfId="0" applyNumberFormat="1" applyFont="1" applyFill="1" applyBorder="1" applyAlignment="1" applyProtection="1">
      <alignment horizontal="center" vertical="center"/>
      <protection locked="0"/>
    </xf>
    <xf numFmtId="49" fontId="7" fillId="11" borderId="32" xfId="0" applyNumberFormat="1" applyFont="1" applyFill="1" applyBorder="1" applyAlignment="1" applyProtection="1">
      <alignment horizontal="center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4" fontId="7" fillId="11" borderId="32" xfId="0" applyNumberFormat="1" applyFont="1" applyFill="1" applyBorder="1" applyAlignment="1" applyProtection="1">
      <alignment horizontal="left" vertical="center" wrapText="1"/>
      <protection locked="0"/>
    </xf>
    <xf numFmtId="0" fontId="7" fillId="11" borderId="33" xfId="0" applyFont="1" applyFill="1" applyBorder="1" applyAlignment="1" applyProtection="1">
      <alignment horizontal="left" vertical="center" wrapText="1"/>
      <protection locked="0"/>
    </xf>
    <xf numFmtId="0" fontId="7" fillId="11" borderId="39" xfId="0" applyFont="1" applyFill="1" applyBorder="1" applyAlignment="1" applyProtection="1">
      <alignment horizontal="left" vertical="center" wrapText="1"/>
      <protection locked="0"/>
    </xf>
    <xf numFmtId="0" fontId="32" fillId="11" borderId="32" xfId="0" applyFont="1" applyFill="1" applyBorder="1" applyAlignment="1" applyProtection="1">
      <alignment horizontal="center" vertical="center"/>
      <protection locked="0"/>
    </xf>
    <xf numFmtId="0" fontId="32" fillId="11" borderId="39" xfId="0" applyFont="1" applyFill="1" applyBorder="1" applyAlignment="1" applyProtection="1">
      <alignment horizontal="center" vertical="center"/>
      <protection locked="0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33" xfId="0" applyNumberFormat="1" applyFont="1" applyFill="1" applyBorder="1" applyAlignment="1" applyProtection="1">
      <alignment horizontal="right" vertical="center"/>
      <protection locked="0"/>
    </xf>
    <xf numFmtId="4" fontId="18" fillId="0" borderId="39" xfId="0" applyNumberFormat="1" applyFont="1" applyFill="1" applyBorder="1" applyAlignment="1" applyProtection="1">
      <alignment horizontal="right" vertical="center"/>
      <protection locked="0"/>
    </xf>
    <xf numFmtId="4" fontId="7" fillId="0" borderId="44" xfId="5" applyNumberFormat="1" applyFont="1" applyFill="1" applyBorder="1" applyAlignment="1" applyProtection="1">
      <alignment horizontal="right" vertical="center"/>
    </xf>
    <xf numFmtId="4" fontId="7" fillId="0" borderId="45" xfId="5" applyNumberFormat="1" applyFont="1" applyFill="1" applyBorder="1" applyAlignment="1" applyProtection="1">
      <alignment horizontal="right" vertical="center"/>
    </xf>
    <xf numFmtId="4" fontId="7" fillId="0" borderId="47" xfId="5" applyNumberFormat="1" applyFont="1" applyFill="1" applyBorder="1" applyAlignment="1" applyProtection="1">
      <alignment horizontal="right" vertical="center"/>
    </xf>
    <xf numFmtId="0" fontId="11" fillId="9" borderId="32" xfId="0" applyNumberFormat="1" applyFont="1" applyFill="1" applyBorder="1" applyAlignment="1" applyProtection="1">
      <alignment horizontal="center" vertical="center"/>
      <protection locked="0"/>
    </xf>
    <xf numFmtId="0" fontId="11" fillId="9" borderId="39" xfId="0" applyNumberFormat="1" applyFont="1" applyFill="1" applyBorder="1" applyAlignment="1" applyProtection="1">
      <alignment horizontal="center" vertical="center"/>
      <protection locked="0"/>
    </xf>
    <xf numFmtId="49" fontId="11" fillId="9" borderId="32" xfId="0" applyNumberFormat="1" applyFont="1" applyFill="1" applyBorder="1" applyAlignment="1" applyProtection="1">
      <alignment horizontal="center" vertical="center"/>
      <protection locked="0"/>
    </xf>
    <xf numFmtId="49" fontId="11" fillId="9" borderId="39" xfId="0" applyNumberFormat="1" applyFont="1" applyFill="1" applyBorder="1" applyAlignment="1" applyProtection="1">
      <alignment horizontal="center" vertical="center"/>
      <protection locked="0"/>
    </xf>
    <xf numFmtId="0" fontId="8" fillId="9" borderId="32" xfId="0" applyFont="1" applyFill="1" applyBorder="1" applyAlignment="1" applyProtection="1">
      <alignment horizontal="left" vertical="center" wrapText="1"/>
      <protection locked="0"/>
    </xf>
    <xf numFmtId="0" fontId="8" fillId="9" borderId="33" xfId="0" applyFont="1" applyFill="1" applyBorder="1" applyAlignment="1" applyProtection="1">
      <alignment horizontal="left" vertical="center" wrapText="1"/>
      <protection locked="0"/>
    </xf>
    <xf numFmtId="0" fontId="8" fillId="9" borderId="39" xfId="0" applyFont="1" applyFill="1" applyBorder="1" applyAlignment="1" applyProtection="1">
      <alignment horizontal="left" vertical="center" wrapText="1"/>
      <protection locked="0"/>
    </xf>
    <xf numFmtId="0" fontId="11" fillId="9" borderId="32" xfId="0" applyFont="1" applyFill="1" applyBorder="1" applyAlignment="1" applyProtection="1">
      <alignment horizontal="center" vertical="center"/>
      <protection locked="0"/>
    </xf>
    <xf numFmtId="0" fontId="11" fillId="9" borderId="39" xfId="0" applyFont="1" applyFill="1" applyBorder="1" applyAlignment="1" applyProtection="1">
      <alignment horizontal="center" vertical="center"/>
      <protection locked="0"/>
    </xf>
    <xf numFmtId="4" fontId="18" fillId="9" borderId="32" xfId="5" applyNumberFormat="1" applyFont="1" applyFill="1" applyBorder="1" applyAlignment="1" applyProtection="1">
      <alignment horizontal="right" vertical="center"/>
      <protection locked="0"/>
    </xf>
    <xf numFmtId="4" fontId="18" fillId="9" borderId="33" xfId="5" applyNumberFormat="1" applyFont="1" applyFill="1" applyBorder="1" applyAlignment="1" applyProtection="1">
      <alignment horizontal="right" vertical="center"/>
      <protection locked="0"/>
    </xf>
    <xf numFmtId="4" fontId="18" fillId="9" borderId="39" xfId="5" applyNumberFormat="1" applyFont="1" applyFill="1" applyBorder="1" applyAlignment="1" applyProtection="1">
      <alignment horizontal="right" vertical="center"/>
      <protection locked="0"/>
    </xf>
    <xf numFmtId="4" fontId="7" fillId="9" borderId="44" xfId="5" applyNumberFormat="1" applyFont="1" applyFill="1" applyBorder="1" applyAlignment="1" applyProtection="1">
      <alignment horizontal="right" vertical="center"/>
    </xf>
    <xf numFmtId="4" fontId="7" fillId="9" borderId="45" xfId="5" applyNumberFormat="1" applyFont="1" applyFill="1" applyBorder="1" applyAlignment="1" applyProtection="1">
      <alignment horizontal="right" vertical="center"/>
    </xf>
    <xf numFmtId="4" fontId="7" fillId="9" borderId="47" xfId="5" applyNumberFormat="1" applyFont="1" applyFill="1" applyBorder="1" applyAlignment="1" applyProtection="1">
      <alignment horizontal="right" vertical="center"/>
    </xf>
    <xf numFmtId="0" fontId="11" fillId="11" borderId="32" xfId="0" applyNumberFormat="1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8" fillId="11" borderId="32" xfId="0" applyFont="1" applyFill="1" applyBorder="1" applyAlignment="1" applyProtection="1">
      <alignment horizontal="left" vertical="center" wrapText="1"/>
      <protection locked="0"/>
    </xf>
    <xf numFmtId="0" fontId="8" fillId="11" borderId="33" xfId="0" applyFont="1" applyFill="1" applyBorder="1" applyAlignment="1" applyProtection="1">
      <alignment horizontal="left" vertical="center" wrapText="1"/>
      <protection locked="0"/>
    </xf>
    <xf numFmtId="0" fontId="8" fillId="11" borderId="39" xfId="0" applyFont="1" applyFill="1" applyBorder="1" applyAlignment="1" applyProtection="1">
      <alignment horizontal="left" vertical="center" wrapText="1"/>
      <protection locked="0"/>
    </xf>
    <xf numFmtId="0" fontId="11" fillId="11" borderId="32" xfId="0" applyFont="1" applyFill="1" applyBorder="1" applyAlignment="1" applyProtection="1">
      <alignment horizontal="center" vertical="center"/>
      <protection locked="0"/>
    </xf>
    <xf numFmtId="0" fontId="11" fillId="11" borderId="39" xfId="0" applyFont="1" applyFill="1" applyBorder="1" applyAlignment="1" applyProtection="1">
      <alignment horizontal="center" vertical="center"/>
      <protection locked="0"/>
    </xf>
    <xf numFmtId="4" fontId="18" fillId="0" borderId="32" xfId="5" applyNumberFormat="1" applyFont="1" applyFill="1" applyBorder="1" applyAlignment="1" applyProtection="1">
      <alignment horizontal="right" vertical="center"/>
      <protection locked="0"/>
    </xf>
    <xf numFmtId="4" fontId="18" fillId="0" borderId="33" xfId="5" applyNumberFormat="1" applyFont="1" applyFill="1" applyBorder="1" applyAlignment="1" applyProtection="1">
      <alignment horizontal="right" vertical="center"/>
      <protection locked="0"/>
    </xf>
    <xf numFmtId="4" fontId="11" fillId="9" borderId="42" xfId="5" applyNumberFormat="1" applyFont="1" applyFill="1" applyBorder="1" applyAlignment="1" applyProtection="1">
      <alignment horizontal="right" vertical="center"/>
    </xf>
    <xf numFmtId="4" fontId="11" fillId="9" borderId="23" xfId="5" applyNumberFormat="1" applyFont="1" applyFill="1" applyBorder="1" applyAlignment="1" applyProtection="1">
      <alignment horizontal="right" vertical="center"/>
    </xf>
    <xf numFmtId="4" fontId="11" fillId="9" borderId="80" xfId="5" applyNumberFormat="1" applyFont="1" applyFill="1" applyBorder="1" applyAlignment="1" applyProtection="1">
      <alignment horizontal="right" vertical="center"/>
    </xf>
    <xf numFmtId="0" fontId="7" fillId="11" borderId="32" xfId="0" applyFont="1" applyFill="1" applyBorder="1" applyAlignment="1" applyProtection="1">
      <alignment horizontal="left" vertical="center" wrapText="1"/>
      <protection locked="0"/>
    </xf>
    <xf numFmtId="4" fontId="18" fillId="0" borderId="32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39" xfId="5" applyNumberFormat="1" applyFont="1" applyFill="1" applyBorder="1" applyAlignment="1" applyProtection="1">
      <alignment horizontal="right" vertical="center"/>
      <protection locked="0"/>
    </xf>
    <xf numFmtId="0" fontId="11" fillId="11" borderId="32" xfId="0" applyFont="1" applyFill="1" applyBorder="1" applyAlignment="1" applyProtection="1">
      <alignment horizontal="left" vertical="center"/>
      <protection locked="0"/>
    </xf>
    <xf numFmtId="0" fontId="11" fillId="11" borderId="33" xfId="0" applyFont="1" applyFill="1" applyBorder="1" applyAlignment="1" applyProtection="1">
      <alignment horizontal="left" vertical="center"/>
      <protection locked="0"/>
    </xf>
    <xf numFmtId="0" fontId="11" fillId="11" borderId="39" xfId="0" applyFont="1" applyFill="1" applyBorder="1" applyAlignment="1" applyProtection="1">
      <alignment horizontal="left" vertical="center"/>
      <protection locked="0"/>
    </xf>
    <xf numFmtId="0" fontId="11" fillId="11" borderId="32" xfId="0" applyFont="1" applyFill="1" applyBorder="1" applyAlignment="1" applyProtection="1">
      <alignment horizontal="right" vertical="center"/>
      <protection locked="0"/>
    </xf>
    <xf numFmtId="0" fontId="11" fillId="11" borderId="33" xfId="0" applyFont="1" applyFill="1" applyBorder="1" applyAlignment="1" applyProtection="1">
      <alignment horizontal="right" vertical="center"/>
      <protection locked="0"/>
    </xf>
    <xf numFmtId="0" fontId="11" fillId="11" borderId="39" xfId="0" applyFont="1" applyFill="1" applyBorder="1" applyAlignment="1" applyProtection="1">
      <alignment horizontal="right" vertical="center"/>
      <protection locked="0"/>
    </xf>
    <xf numFmtId="165" fontId="18" fillId="0" borderId="32" xfId="5" applyFont="1" applyFill="1" applyBorder="1" applyAlignment="1" applyProtection="1">
      <alignment horizontal="right" vertical="center"/>
      <protection locked="0"/>
    </xf>
    <xf numFmtId="165" fontId="18" fillId="0" borderId="33" xfId="5" applyFont="1" applyFill="1" applyBorder="1" applyAlignment="1" applyProtection="1">
      <alignment horizontal="right" vertical="center"/>
      <protection locked="0"/>
    </xf>
    <xf numFmtId="165" fontId="18" fillId="0" borderId="39" xfId="5" applyFont="1" applyFill="1" applyBorder="1" applyAlignment="1" applyProtection="1">
      <alignment horizontal="right" vertical="center"/>
      <protection locked="0"/>
    </xf>
    <xf numFmtId="165" fontId="7" fillId="0" borderId="23" xfId="5" applyFont="1" applyFill="1" applyBorder="1" applyAlignment="1" applyProtection="1">
      <alignment horizontal="right" vertical="center"/>
    </xf>
    <xf numFmtId="165" fontId="7" fillId="0" borderId="32" xfId="5" applyFont="1" applyFill="1" applyBorder="1" applyAlignment="1" applyProtection="1">
      <alignment horizontal="right" vertical="center"/>
    </xf>
    <xf numFmtId="165" fontId="11" fillId="5" borderId="23" xfId="5" applyFont="1" applyFill="1" applyBorder="1" applyAlignment="1" applyProtection="1">
      <alignment horizontal="right" vertical="center"/>
    </xf>
    <xf numFmtId="165" fontId="11" fillId="5" borderId="80" xfId="5" applyFont="1" applyFill="1" applyBorder="1" applyAlignment="1" applyProtection="1">
      <alignment horizontal="right" vertical="center"/>
    </xf>
    <xf numFmtId="0" fontId="32" fillId="9" borderId="32" xfId="0" applyFont="1" applyFill="1" applyBorder="1" applyAlignment="1" applyProtection="1">
      <alignment horizontal="center" vertical="center"/>
      <protection locked="0"/>
    </xf>
    <xf numFmtId="0" fontId="32" fillId="9" borderId="39" xfId="0" applyFont="1" applyFill="1" applyBorder="1" applyAlignment="1" applyProtection="1">
      <alignment horizontal="center" vertical="center"/>
      <protection locked="0"/>
    </xf>
    <xf numFmtId="0" fontId="7" fillId="9" borderId="32" xfId="0" applyNumberFormat="1" applyFont="1" applyFill="1" applyBorder="1" applyAlignment="1" applyProtection="1">
      <alignment horizontal="center" vertical="center"/>
      <protection locked="0"/>
    </xf>
    <xf numFmtId="4" fontId="18" fillId="0" borderId="23" xfId="5" applyNumberFormat="1" applyFont="1" applyFill="1" applyBorder="1" applyAlignment="1" applyProtection="1">
      <alignment horizontal="right" vertical="center"/>
      <protection locked="0"/>
    </xf>
    <xf numFmtId="0" fontId="4" fillId="6" borderId="0" xfId="0" applyFont="1" applyFill="1" applyBorder="1" applyAlignment="1" applyProtection="1">
      <alignment horizontal="left" wrapText="1"/>
    </xf>
    <xf numFmtId="165" fontId="17" fillId="3" borderId="20" xfId="5" applyFont="1" applyFill="1" applyBorder="1" applyAlignment="1" applyProtection="1">
      <alignment horizontal="right" vertical="center"/>
    </xf>
    <xf numFmtId="165" fontId="17" fillId="3" borderId="26" xfId="5" applyFont="1" applyFill="1" applyBorder="1" applyAlignment="1" applyProtection="1">
      <alignment horizontal="right" vertical="center"/>
    </xf>
    <xf numFmtId="165" fontId="17" fillId="3" borderId="71" xfId="5" applyFont="1" applyFill="1" applyBorder="1" applyAlignment="1" applyProtection="1">
      <alignment horizontal="right" vertical="center"/>
    </xf>
    <xf numFmtId="165" fontId="17" fillId="3" borderId="82" xfId="5" applyFont="1" applyFill="1" applyBorder="1" applyAlignment="1" applyProtection="1">
      <alignment horizontal="right" vertical="center"/>
    </xf>
    <xf numFmtId="165" fontId="17" fillId="3" borderId="36" xfId="5" applyFont="1" applyFill="1" applyBorder="1" applyAlignment="1" applyProtection="1">
      <alignment horizontal="right" vertical="center"/>
    </xf>
    <xf numFmtId="49" fontId="7" fillId="11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11" borderId="39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44" xfId="5" applyNumberFormat="1" applyFont="1" applyFill="1" applyBorder="1" applyAlignment="1" applyProtection="1">
      <alignment horizontal="right" vertical="center"/>
      <protection locked="0"/>
    </xf>
    <xf numFmtId="4" fontId="18" fillId="0" borderId="45" xfId="5" applyNumberFormat="1" applyFont="1" applyFill="1" applyBorder="1" applyAlignment="1" applyProtection="1">
      <alignment horizontal="right" vertical="center"/>
      <protection locked="0"/>
    </xf>
    <xf numFmtId="4" fontId="18" fillId="0" borderId="46" xfId="5" applyNumberFormat="1" applyFont="1" applyFill="1" applyBorder="1" applyAlignment="1" applyProtection="1">
      <alignment horizontal="right" vertical="center"/>
      <protection locked="0"/>
    </xf>
    <xf numFmtId="0" fontId="7" fillId="11" borderId="39" xfId="0" applyNumberFormat="1" applyFont="1" applyFill="1" applyBorder="1" applyAlignment="1" applyProtection="1">
      <alignment horizontal="center" vertical="center"/>
      <protection locked="0"/>
    </xf>
    <xf numFmtId="4" fontId="7" fillId="11" borderId="32" xfId="2" applyNumberFormat="1" applyFont="1" applyFill="1" applyBorder="1" applyAlignment="1" applyProtection="1">
      <alignment horizontal="right" vertical="center"/>
      <protection locked="0"/>
    </xf>
    <xf numFmtId="4" fontId="7" fillId="11" borderId="33" xfId="2" applyNumberFormat="1" applyFont="1" applyFill="1" applyBorder="1" applyAlignment="1" applyProtection="1">
      <alignment horizontal="right" vertical="center"/>
      <protection locked="0"/>
    </xf>
    <xf numFmtId="4" fontId="7" fillId="11" borderId="39" xfId="2" applyNumberFormat="1" applyFont="1" applyFill="1" applyBorder="1" applyAlignment="1" applyProtection="1">
      <alignment horizontal="right" vertical="center"/>
      <protection locked="0"/>
    </xf>
    <xf numFmtId="4" fontId="7" fillId="5" borderId="42" xfId="5" applyNumberFormat="1" applyFont="1" applyFill="1" applyBorder="1" applyAlignment="1" applyProtection="1">
      <alignment horizontal="right" vertical="center"/>
    </xf>
    <xf numFmtId="4" fontId="7" fillId="5" borderId="23" xfId="5" applyNumberFormat="1" applyFont="1" applyFill="1" applyBorder="1" applyAlignment="1" applyProtection="1">
      <alignment horizontal="right" vertical="center"/>
    </xf>
    <xf numFmtId="4" fontId="7" fillId="5" borderId="80" xfId="5" applyNumberFormat="1" applyFont="1" applyFill="1" applyBorder="1" applyAlignment="1" applyProtection="1">
      <alignment horizontal="right" vertical="center"/>
    </xf>
    <xf numFmtId="4" fontId="7" fillId="11" borderId="32" xfId="2" applyNumberFormat="1" applyFont="1" applyFill="1" applyBorder="1" applyAlignment="1" applyProtection="1">
      <alignment horizontal="right" vertical="center"/>
    </xf>
    <xf numFmtId="4" fontId="7" fillId="11" borderId="33" xfId="2" applyNumberFormat="1" applyFont="1" applyFill="1" applyBorder="1" applyAlignment="1" applyProtection="1">
      <alignment horizontal="right" vertical="center"/>
    </xf>
    <xf numFmtId="4" fontId="7" fillId="11" borderId="39" xfId="2" applyNumberFormat="1" applyFont="1" applyFill="1" applyBorder="1" applyAlignment="1" applyProtection="1">
      <alignment horizontal="right" vertical="center"/>
    </xf>
    <xf numFmtId="49" fontId="7" fillId="11" borderId="39" xfId="0" applyNumberFormat="1" applyFont="1" applyFill="1" applyBorder="1" applyAlignment="1" applyProtection="1">
      <alignment horizontal="center" vertical="center" wrapText="1"/>
      <protection locked="0"/>
    </xf>
    <xf numFmtId="4" fontId="7" fillId="11" borderId="32" xfId="0" applyNumberFormat="1" applyFont="1" applyFill="1" applyBorder="1" applyAlignment="1" applyProtection="1">
      <alignment horizontal="right" vertical="center"/>
    </xf>
    <xf numFmtId="4" fontId="7" fillId="11" borderId="33" xfId="0" applyNumberFormat="1" applyFont="1" applyFill="1" applyBorder="1" applyAlignment="1" applyProtection="1">
      <alignment horizontal="right" vertical="center"/>
    </xf>
    <xf numFmtId="4" fontId="7" fillId="11" borderId="39" xfId="0" applyNumberFormat="1" applyFont="1" applyFill="1" applyBorder="1" applyAlignment="1" applyProtection="1">
      <alignment horizontal="right" vertical="center"/>
    </xf>
    <xf numFmtId="4" fontId="18" fillId="9" borderId="44" xfId="5" applyNumberFormat="1" applyFont="1" applyFill="1" applyBorder="1" applyAlignment="1" applyProtection="1">
      <alignment horizontal="right" vertical="center"/>
      <protection locked="0"/>
    </xf>
    <xf numFmtId="4" fontId="18" fillId="9" borderId="45" xfId="5" applyNumberFormat="1" applyFont="1" applyFill="1" applyBorder="1" applyAlignment="1" applyProtection="1">
      <alignment horizontal="right" vertical="center"/>
      <protection locked="0"/>
    </xf>
    <xf numFmtId="4" fontId="18" fillId="9" borderId="46" xfId="5" applyNumberFormat="1" applyFont="1" applyFill="1" applyBorder="1" applyAlignment="1" applyProtection="1">
      <alignment horizontal="right" vertical="center"/>
      <protection locked="0"/>
    </xf>
    <xf numFmtId="0" fontId="6" fillId="6" borderId="5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4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7" fillId="0" borderId="40" xfId="12" applyNumberFormat="1" applyFont="1" applyFill="1" applyBorder="1" applyAlignment="1" applyProtection="1">
      <alignment horizontal="left" wrapText="1"/>
    </xf>
    <xf numFmtId="0" fontId="2" fillId="0" borderId="13" xfId="11" applyFont="1" applyBorder="1" applyAlignment="1" applyProtection="1">
      <alignment horizontal="left" vertical="top"/>
    </xf>
    <xf numFmtId="0" fontId="2" fillId="0" borderId="25" xfId="11" applyFont="1" applyBorder="1" applyAlignment="1" applyProtection="1">
      <alignment horizontal="left" vertical="top"/>
    </xf>
    <xf numFmtId="0" fontId="2" fillId="0" borderId="0" xfId="11" applyFont="1" applyBorder="1" applyAlignment="1" applyProtection="1">
      <alignment horizontal="left" vertical="top"/>
    </xf>
    <xf numFmtId="0" fontId="1" fillId="0" borderId="28" xfId="8" applyFont="1" applyFill="1" applyBorder="1" applyAlignment="1" applyProtection="1">
      <alignment horizontal="left" vertical="top" wrapText="1"/>
    </xf>
    <xf numFmtId="0" fontId="1" fillId="0" borderId="37" xfId="8" applyFont="1" applyFill="1" applyBorder="1" applyAlignment="1" applyProtection="1">
      <alignment horizontal="left" vertical="top" wrapText="1"/>
    </xf>
    <xf numFmtId="49" fontId="1" fillId="0" borderId="28" xfId="8" applyNumberFormat="1" applyFont="1" applyFill="1" applyBorder="1" applyAlignment="1" applyProtection="1">
      <alignment horizontal="left" vertical="top" wrapText="1"/>
    </xf>
    <xf numFmtId="0" fontId="1" fillId="0" borderId="29" xfId="8" applyNumberFormat="1" applyFont="1" applyFill="1" applyBorder="1" applyAlignment="1" applyProtection="1">
      <alignment horizontal="left" vertical="top" wrapText="1"/>
    </xf>
    <xf numFmtId="0" fontId="1" fillId="0" borderId="37" xfId="8" applyNumberFormat="1" applyFont="1" applyFill="1" applyBorder="1" applyAlignment="1" applyProtection="1">
      <alignment horizontal="left" vertical="top" wrapText="1"/>
    </xf>
    <xf numFmtId="164" fontId="7" fillId="12" borderId="28" xfId="12" applyFont="1" applyFill="1" applyBorder="1" applyAlignment="1" applyProtection="1">
      <alignment horizontal="left"/>
      <protection locked="0"/>
    </xf>
    <xf numFmtId="164" fontId="7" fillId="12" borderId="29" xfId="12" applyFont="1" applyFill="1" applyBorder="1" applyAlignment="1" applyProtection="1">
      <alignment horizontal="left"/>
      <protection locked="0"/>
    </xf>
    <xf numFmtId="164" fontId="7" fillId="12" borderId="37" xfId="12" applyFont="1" applyFill="1" applyBorder="1" applyAlignment="1" applyProtection="1">
      <alignment horizontal="left"/>
      <protection locked="0"/>
    </xf>
    <xf numFmtId="0" fontId="1" fillId="0" borderId="28" xfId="8" applyFont="1" applyFill="1" applyBorder="1" applyAlignment="1" applyProtection="1">
      <alignment horizontal="center" vertical="top" wrapText="1"/>
    </xf>
    <xf numFmtId="0" fontId="1" fillId="0" borderId="37" xfId="8" applyFont="1" applyFill="1" applyBorder="1" applyAlignment="1" applyProtection="1">
      <alignment horizontal="center" vertical="top" wrapText="1"/>
    </xf>
    <xf numFmtId="0" fontId="7" fillId="0" borderId="10" xfId="8" applyFont="1" applyFill="1" applyBorder="1" applyAlignment="1" applyProtection="1">
      <alignment horizontal="left" wrapText="1"/>
    </xf>
    <xf numFmtId="10" fontId="7" fillId="12" borderId="10" xfId="8" applyNumberFormat="1" applyFont="1" applyFill="1" applyBorder="1" applyAlignment="1" applyProtection="1">
      <alignment horizontal="center"/>
      <protection locked="0"/>
    </xf>
    <xf numFmtId="0" fontId="7" fillId="0" borderId="10" xfId="8" applyFont="1" applyFill="1" applyBorder="1" applyAlignment="1" applyProtection="1">
      <alignment horizontal="left"/>
    </xf>
    <xf numFmtId="0" fontId="6" fillId="0" borderId="10" xfId="8" applyFont="1" applyBorder="1" applyAlignment="1" applyProtection="1">
      <alignment horizontal="center" vertical="center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6" fillId="0" borderId="10" xfId="8" applyFont="1" applyFill="1" applyBorder="1" applyAlignment="1" applyProtection="1">
      <alignment horizontal="center" vertical="center"/>
    </xf>
    <xf numFmtId="0" fontId="2" fillId="0" borderId="10" xfId="8" applyFont="1" applyFill="1" applyBorder="1" applyAlignment="1" applyProtection="1">
      <alignment horizontal="center" vertical="center"/>
    </xf>
    <xf numFmtId="0" fontId="28" fillId="0" borderId="0" xfId="8" applyFont="1" applyAlignment="1" applyProtection="1">
      <alignment horizontal="left" vertical="center" indent="1"/>
    </xf>
    <xf numFmtId="0" fontId="1" fillId="0" borderId="10" xfId="8" applyFont="1" applyBorder="1" applyAlignment="1" applyProtection="1">
      <alignment horizontal="left" vertical="center" wrapText="1"/>
    </xf>
    <xf numFmtId="0" fontId="1" fillId="0" borderId="10" xfId="8" applyFont="1" applyBorder="1" applyAlignment="1" applyProtection="1">
      <alignment horizontal="left" vertical="center"/>
    </xf>
    <xf numFmtId="0" fontId="25" fillId="0" borderId="0" xfId="8" applyFont="1" applyBorder="1" applyAlignment="1" applyProtection="1">
      <alignment horizontal="left" vertical="center" wrapText="1"/>
    </xf>
    <xf numFmtId="2" fontId="26" fillId="0" borderId="27" xfId="8" applyNumberFormat="1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left" vertical="center"/>
    </xf>
    <xf numFmtId="0" fontId="1" fillId="0" borderId="0" xfId="8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/>
    </xf>
    <xf numFmtId="0" fontId="29" fillId="0" borderId="0" xfId="0" quotePrefix="1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center" vertical="top"/>
    </xf>
    <xf numFmtId="0" fontId="32" fillId="0" borderId="10" xfId="8" applyFont="1" applyBorder="1" applyAlignment="1" applyProtection="1">
      <alignment horizontal="center" vertical="center" wrapText="1"/>
    </xf>
    <xf numFmtId="49" fontId="1" fillId="12" borderId="11" xfId="8" applyNumberFormat="1" applyFont="1" applyFill="1" applyBorder="1" applyAlignment="1" applyProtection="1">
      <alignment horizontal="left" vertical="top" wrapText="1"/>
      <protection locked="0"/>
    </xf>
    <xf numFmtId="49" fontId="1" fillId="12" borderId="2" xfId="8" applyNumberFormat="1" applyFont="1" applyFill="1" applyBorder="1" applyAlignment="1" applyProtection="1">
      <alignment horizontal="left" vertical="top" wrapText="1"/>
      <protection locked="0"/>
    </xf>
    <xf numFmtId="49" fontId="1" fillId="12" borderId="14" xfId="8" applyNumberFormat="1" applyFont="1" applyFill="1" applyBorder="1" applyAlignment="1" applyProtection="1">
      <alignment horizontal="left" vertical="top" wrapText="1"/>
      <protection locked="0"/>
    </xf>
    <xf numFmtId="170" fontId="1" fillId="0" borderId="29" xfId="8" applyNumberFormat="1" applyFont="1" applyFill="1" applyBorder="1" applyAlignment="1" applyProtection="1">
      <alignment horizontal="left"/>
    </xf>
    <xf numFmtId="171" fontId="1" fillId="0" borderId="29" xfId="8" applyNumberFormat="1" applyFont="1" applyBorder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170" fontId="1" fillId="0" borderId="0" xfId="8" applyNumberFormat="1" applyFont="1" applyFill="1" applyBorder="1" applyAlignment="1" applyProtection="1">
      <alignment horizontal="left"/>
    </xf>
    <xf numFmtId="0" fontId="1" fillId="0" borderId="27" xfId="8" applyFont="1" applyBorder="1" applyAlignment="1" applyProtection="1">
      <alignment horizontal="center" vertical="center"/>
    </xf>
    <xf numFmtId="49" fontId="1" fillId="0" borderId="0" xfId="8" applyNumberFormat="1" applyFont="1" applyFill="1" applyBorder="1" applyAlignment="1" applyProtection="1">
      <alignment horizontal="left"/>
      <protection locked="0"/>
    </xf>
    <xf numFmtId="0" fontId="6" fillId="6" borderId="69" xfId="0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8" borderId="61" xfId="0" applyFont="1" applyFill="1" applyBorder="1" applyAlignment="1">
      <alignment horizontal="right"/>
    </xf>
    <xf numFmtId="0" fontId="2" fillId="8" borderId="62" xfId="0" applyFont="1" applyFill="1" applyBorder="1" applyAlignment="1">
      <alignment horizontal="right"/>
    </xf>
    <xf numFmtId="0" fontId="2" fillId="8" borderId="63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62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right"/>
    </xf>
    <xf numFmtId="165" fontId="2" fillId="9" borderId="66" xfId="0" applyNumberFormat="1" applyFont="1" applyFill="1" applyBorder="1" applyAlignment="1">
      <alignment horizontal="center"/>
    </xf>
    <xf numFmtId="165" fontId="2" fillId="9" borderId="67" xfId="0" applyNumberFormat="1" applyFont="1" applyFill="1" applyBorder="1" applyAlignment="1">
      <alignment horizontal="center"/>
    </xf>
  </cellXfs>
  <cellStyles count="13">
    <cellStyle name="Moeda 2" xfId="1"/>
    <cellStyle name="Moeda 2 2" xfId="7"/>
    <cellStyle name="Moeda_Composicao BDI v2.1" xfId="12"/>
    <cellStyle name="Normal" xfId="0" builtinId="0"/>
    <cellStyle name="Normal 2" xfId="2"/>
    <cellStyle name="Normal 2 2" xfId="8"/>
    <cellStyle name="Normal_FICHA DE VERIFICAÇÃO PRELIMINAR - Plano R" xfId="11"/>
    <cellStyle name="Porcentagem" xfId="3" builtinId="5"/>
    <cellStyle name="Porcentagem 2" xfId="4"/>
    <cellStyle name="Porcentagem 2 2" xfId="9"/>
    <cellStyle name="Vírgula" xfId="5" builtinId="3"/>
    <cellStyle name="Vírgula 2" xfId="6"/>
    <cellStyle name="Vírgula 2 2" xfId="10"/>
  </cellStyles>
  <dxfs count="9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9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15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10659" name="Oval 1"/>
        <xdr:cNvSpPr>
          <a:spLocks noChangeArrowheads="1"/>
        </xdr:cNvSpPr>
      </xdr:nvSpPr>
      <xdr:spPr bwMode="auto">
        <a:xfrm>
          <a:off x="8086725" y="20764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0" name="Desenhando 59"/>
        <xdr:cNvSpPr>
          <a:spLocks/>
        </xdr:cNvSpPr>
      </xdr:nvSpPr>
      <xdr:spPr bwMode="auto">
        <a:xfrm>
          <a:off x="9620250" y="2076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60000 65536"/>
            <a:gd name="T9" fmla="*/ 0 60000 65536"/>
            <a:gd name="T10" fmla="*/ 0 60000 65536"/>
            <a:gd name="T11" fmla="*/ 0 60000 65536"/>
            <a:gd name="T12" fmla="*/ 0 w 16384"/>
            <a:gd name="T13" fmla="*/ 0 h 16384"/>
            <a:gd name="T14" fmla="*/ 16384 w 16384"/>
            <a:gd name="T15" fmla="*/ 16384 h 1638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384" h="16384">
              <a:moveTo>
                <a:pt x="0" y="0"/>
              </a:moveTo>
              <a:lnTo>
                <a:pt x="16384" y="0"/>
              </a:lnTo>
              <a:lnTo>
                <a:pt x="7490" y="16384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1" name="Rectangle 3"/>
        <xdr:cNvSpPr>
          <a:spLocks noChangeArrowheads="1"/>
        </xdr:cNvSpPr>
      </xdr:nvSpPr>
      <xdr:spPr bwMode="auto">
        <a:xfrm>
          <a:off x="9620250" y="207645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35719</xdr:colOff>
      <xdr:row>0</xdr:row>
      <xdr:rowOff>35719</xdr:rowOff>
    </xdr:from>
    <xdr:to>
      <xdr:col>4</xdr:col>
      <xdr:colOff>516732</xdr:colOff>
      <xdr:row>3</xdr:row>
      <xdr:rowOff>50006</xdr:rowOff>
    </xdr:to>
    <xdr:pic>
      <xdr:nvPicPr>
        <xdr:cNvPr id="6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35719"/>
          <a:ext cx="1790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19050</xdr:rowOff>
    </xdr:from>
    <xdr:to>
      <xdr:col>10</xdr:col>
      <xdr:colOff>600075</xdr:colOff>
      <xdr:row>2</xdr:row>
      <xdr:rowOff>76200</xdr:rowOff>
    </xdr:to>
    <xdr:sp macro="" textlink="">
      <xdr:nvSpPr>
        <xdr:cNvPr id="2" name="Object 476" hidden="1">
          <a:extLst>
            <a:ext uri="{63B3BB69-23CF-44E3-9099-C40C66FF867C}">
              <a14:compatExt xmlns:a14="http://schemas.microsoft.com/office/drawing/2010/main" spid="_x0000_s156124"/>
            </a:ext>
          </a:extLst>
        </xdr:cNvPr>
        <xdr:cNvSpPr/>
      </xdr:nvSpPr>
      <xdr:spPr bwMode="auto">
        <a:xfrm>
          <a:off x="28575" y="19050"/>
          <a:ext cx="17907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0</xdr:row>
          <xdr:rowOff>0</xdr:rowOff>
        </xdr:from>
        <xdr:to>
          <xdr:col>18</xdr:col>
          <xdr:colOff>19050</xdr:colOff>
          <xdr:row>1</xdr:row>
          <xdr:rowOff>133350</xdr:rowOff>
        </xdr:to>
        <xdr:pic>
          <xdr:nvPicPr>
            <xdr:cNvPr id="3" name="SigiloPic"/>
            <xdr:cNvPicPr>
              <a:picLocks noChangeArrowheads="1"/>
              <a:extLst>
                <a:ext uri="{84589F7E-364E-4C9E-8A38-B11213B215E9}">
                  <a14:cameraTool cellRange="[1]PO!$T$1:$T$2" spid="_x0000_s44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43550" y="0"/>
              <a:ext cx="1047750" cy="333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28575</xdr:colOff>
      <xdr:row>0</xdr:row>
      <xdr:rowOff>19050</xdr:rowOff>
    </xdr:from>
    <xdr:to>
      <xdr:col>10</xdr:col>
      <xdr:colOff>600075</xdr:colOff>
      <xdr:row>2</xdr:row>
      <xdr:rowOff>76200</xdr:rowOff>
    </xdr:to>
    <xdr:pic>
      <xdr:nvPicPr>
        <xdr:cNvPr id="4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7907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GENHARIA/Desktop/Modelo%20Planilha%20CAIXA%20-%20MO27476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 refreshError="1">
        <row r="29">
          <cell r="A29">
            <v>0</v>
          </cell>
          <cell r="P29" t="str">
            <v xml:space="preserve">PAVIMENTAÇÃO </v>
          </cell>
        </row>
        <row r="32">
          <cell r="A32" t="str">
            <v>PREFEITURA MUNICPAL DE PAPAGAIOS</v>
          </cell>
        </row>
        <row r="38">
          <cell r="C38" t="str">
            <v>Sim</v>
          </cell>
        </row>
        <row r="54">
          <cell r="B54" t="str">
            <v>IRLEY GERALDO ALVES VIEIRA</v>
          </cell>
        </row>
        <row r="55">
          <cell r="B55" t="str">
            <v>ENGENHEIRO CIVIL</v>
          </cell>
        </row>
        <row r="56">
          <cell r="A56" t="str">
            <v>CREA/CAU:</v>
          </cell>
          <cell r="B56" t="str">
            <v>175.870/D</v>
          </cell>
        </row>
        <row r="57">
          <cell r="A57" t="str">
            <v>ART/RRT:</v>
          </cell>
        </row>
      </sheetData>
      <sheetData sheetId="1" refreshError="1"/>
      <sheetData sheetId="2" refreshError="1">
        <row r="45">
          <cell r="K45" t="str">
            <v>PAPAGAIOS / MG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4"/>
  <sheetViews>
    <sheetView tabSelected="1" zoomScale="80" zoomScaleNormal="80" workbookViewId="0">
      <selection activeCell="F46" sqref="F46:R46"/>
    </sheetView>
  </sheetViews>
  <sheetFormatPr defaultRowHeight="12" x14ac:dyDescent="0.2"/>
  <cols>
    <col min="1" max="1" width="5.42578125" style="94" customWidth="1"/>
    <col min="2" max="2" width="7.28515625" style="94" customWidth="1"/>
    <col min="3" max="3" width="5.85546875" style="94" customWidth="1"/>
    <col min="4" max="4" width="6.42578125" style="94" customWidth="1"/>
    <col min="5" max="5" width="11.7109375" style="95" customWidth="1"/>
    <col min="6" max="6" width="4.42578125" style="95" customWidth="1"/>
    <col min="7" max="10" width="3.28515625" style="95" customWidth="1"/>
    <col min="11" max="14" width="3.28515625" style="51" customWidth="1"/>
    <col min="15" max="15" width="3.140625" style="51" customWidth="1"/>
    <col min="16" max="16" width="3.28515625" style="51" customWidth="1"/>
    <col min="17" max="17" width="2.7109375" style="51" customWidth="1"/>
    <col min="18" max="18" width="2.42578125" style="51" hidden="1" customWidth="1"/>
    <col min="19" max="19" width="3.28515625" style="51" customWidth="1"/>
    <col min="20" max="20" width="3.7109375" style="51" customWidth="1"/>
    <col min="21" max="21" width="3.28515625" style="51" customWidth="1"/>
    <col min="22" max="22" width="3.85546875" style="51" customWidth="1"/>
    <col min="23" max="23" width="9" style="51" customWidth="1"/>
    <col min="24" max="25" width="3.28515625" style="51" customWidth="1"/>
    <col min="26" max="26" width="9.5703125" style="51" customWidth="1"/>
    <col min="27" max="27" width="3.28515625" style="51" customWidth="1"/>
    <col min="28" max="28" width="2.7109375" style="51" customWidth="1"/>
    <col min="29" max="29" width="2.140625" style="51" hidden="1" customWidth="1"/>
    <col min="30" max="30" width="12.5703125" style="51" customWidth="1"/>
    <col min="31" max="32" width="3.28515625" style="51" customWidth="1"/>
    <col min="33" max="33" width="8" style="51" customWidth="1"/>
    <col min="34" max="38" width="3.28515625" style="51" customWidth="1"/>
    <col min="39" max="39" width="6.5703125" style="51" customWidth="1"/>
    <col min="40" max="40" width="4.85546875" style="51" hidden="1" customWidth="1"/>
    <col min="41" max="41" width="3.28515625" style="51" customWidth="1"/>
    <col min="42" max="42" width="11.28515625" style="51" customWidth="1"/>
    <col min="43" max="43" width="3.28515625" style="51" customWidth="1"/>
    <col min="44" max="44" width="11" style="51" bestFit="1" customWidth="1"/>
    <col min="45" max="45" width="6.85546875" style="51" customWidth="1"/>
    <col min="46" max="46" width="4.42578125" style="52" customWidth="1"/>
    <col min="47" max="47" width="7.140625" style="51" customWidth="1"/>
    <col min="48" max="48" width="3.28515625" style="51" customWidth="1"/>
    <col min="49" max="49" width="11.5703125" style="51" customWidth="1"/>
    <col min="50" max="55" width="3.28515625" style="51" customWidth="1"/>
    <col min="56" max="16384" width="9.140625" style="51"/>
  </cols>
  <sheetData>
    <row r="1" spans="1:46" ht="6.75" customHeight="1" x14ac:dyDescent="0.2">
      <c r="A1" s="233"/>
      <c r="B1" s="234"/>
      <c r="C1" s="234"/>
      <c r="D1" s="234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6"/>
    </row>
    <row r="2" spans="1:46" ht="12.75" customHeight="1" x14ac:dyDescent="0.2">
      <c r="A2" s="387" t="s">
        <v>34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389"/>
    </row>
    <row r="3" spans="1:46" ht="12" customHeight="1" x14ac:dyDescent="0.2">
      <c r="A3" s="387"/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9"/>
    </row>
    <row r="4" spans="1:46" ht="4.5" customHeight="1" x14ac:dyDescent="0.2">
      <c r="A4" s="237"/>
      <c r="B4" s="50"/>
      <c r="C4" s="50"/>
      <c r="D4" s="50"/>
      <c r="E4" s="50"/>
      <c r="F4" s="50"/>
      <c r="G4" s="50"/>
      <c r="H4" s="238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239"/>
    </row>
    <row r="5" spans="1:46" s="53" customFormat="1" ht="13.5" customHeight="1" x14ac:dyDescent="0.2">
      <c r="A5" s="390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184"/>
      <c r="Z5" s="184"/>
      <c r="AA5" s="184"/>
      <c r="AB5" s="184"/>
      <c r="AC5" s="184"/>
      <c r="AD5" s="392"/>
      <c r="AE5" s="392"/>
      <c r="AF5" s="392"/>
      <c r="AG5" s="392"/>
      <c r="AH5" s="392"/>
      <c r="AI5" s="392"/>
      <c r="AJ5" s="392"/>
      <c r="AK5" s="392"/>
      <c r="AL5" s="392"/>
      <c r="AM5" s="393"/>
      <c r="AT5" s="54"/>
    </row>
    <row r="6" spans="1:46" ht="5.25" customHeight="1" x14ac:dyDescent="0.2">
      <c r="A6" s="240"/>
      <c r="B6" s="55"/>
      <c r="C6" s="55"/>
      <c r="D6" s="55"/>
      <c r="E6" s="55"/>
      <c r="F6" s="55"/>
      <c r="G6" s="55"/>
      <c r="H6" s="55"/>
      <c r="I6" s="55"/>
      <c r="J6" s="55"/>
      <c r="K6" s="62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239"/>
    </row>
    <row r="7" spans="1:46" s="57" customFormat="1" ht="12" customHeight="1" x14ac:dyDescent="0.2">
      <c r="A7" s="241" t="s">
        <v>35</v>
      </c>
      <c r="B7" s="49"/>
      <c r="C7" s="49"/>
      <c r="D7" s="49"/>
      <c r="E7" s="49"/>
      <c r="F7" s="49"/>
      <c r="G7" s="49"/>
      <c r="H7" s="49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49"/>
      <c r="Y7" s="49"/>
      <c r="Z7" s="49"/>
      <c r="AA7" s="49"/>
      <c r="AB7" s="50"/>
      <c r="AC7" s="50"/>
      <c r="AD7" s="56" t="s">
        <v>36</v>
      </c>
      <c r="AE7" s="50"/>
      <c r="AF7" s="50"/>
      <c r="AG7" s="50"/>
      <c r="AH7" s="50"/>
      <c r="AI7" s="50"/>
      <c r="AJ7" s="50"/>
      <c r="AK7" s="50"/>
      <c r="AL7" s="50"/>
      <c r="AM7" s="239"/>
      <c r="AT7" s="58"/>
    </row>
    <row r="8" spans="1:46" s="57" customFormat="1" ht="14.1" customHeight="1" x14ac:dyDescent="0.2">
      <c r="A8" s="394" t="s">
        <v>135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6"/>
      <c r="AD8" s="397" t="s">
        <v>205</v>
      </c>
      <c r="AE8" s="398"/>
      <c r="AF8" s="398"/>
      <c r="AG8" s="398"/>
      <c r="AH8" s="398"/>
      <c r="AI8" s="398"/>
      <c r="AJ8" s="398"/>
      <c r="AK8" s="398"/>
      <c r="AL8" s="398"/>
      <c r="AM8" s="399"/>
      <c r="AT8" s="58"/>
    </row>
    <row r="9" spans="1:46" s="60" customFormat="1" ht="5.25" customHeight="1" x14ac:dyDescent="0.2">
      <c r="A9" s="242"/>
      <c r="B9" s="59"/>
      <c r="C9" s="59"/>
      <c r="D9" s="59"/>
      <c r="E9" s="59"/>
      <c r="F9" s="59"/>
      <c r="G9" s="59"/>
      <c r="H9" s="59"/>
      <c r="I9" s="59"/>
      <c r="J9" s="59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243"/>
      <c r="AT9" s="61"/>
    </row>
    <row r="10" spans="1:46" s="57" customFormat="1" ht="12" customHeight="1" x14ac:dyDescent="0.2">
      <c r="A10" s="241" t="s">
        <v>37</v>
      </c>
      <c r="B10" s="49"/>
      <c r="C10" s="49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6" t="s">
        <v>38</v>
      </c>
      <c r="X10" s="50"/>
      <c r="Y10" s="49"/>
      <c r="Z10" s="49"/>
      <c r="AA10" s="49"/>
      <c r="AB10" s="49"/>
      <c r="AC10" s="49"/>
      <c r="AD10" s="50"/>
      <c r="AE10" s="49"/>
      <c r="AF10" s="62"/>
      <c r="AG10" s="50"/>
      <c r="AH10" s="50"/>
      <c r="AI10" s="50"/>
      <c r="AJ10" s="50"/>
      <c r="AK10" s="228"/>
      <c r="AL10" s="63" t="s">
        <v>39</v>
      </c>
      <c r="AM10" s="244"/>
      <c r="AT10" s="58"/>
    </row>
    <row r="11" spans="1:46" ht="34.5" customHeight="1" x14ac:dyDescent="0.2">
      <c r="A11" s="400" t="s">
        <v>96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1"/>
      <c r="R11" s="401"/>
      <c r="S11" s="401"/>
      <c r="T11" s="401"/>
      <c r="U11" s="401"/>
      <c r="V11" s="402"/>
      <c r="W11" s="403" t="s">
        <v>109</v>
      </c>
      <c r="X11" s="395"/>
      <c r="Y11" s="395"/>
      <c r="Z11" s="395"/>
      <c r="AA11" s="395"/>
      <c r="AB11" s="395"/>
      <c r="AC11" s="395"/>
      <c r="AD11" s="395"/>
      <c r="AE11" s="395"/>
      <c r="AF11" s="395"/>
      <c r="AG11" s="395"/>
      <c r="AH11" s="395"/>
      <c r="AI11" s="395"/>
      <c r="AJ11" s="395"/>
      <c r="AK11" s="396"/>
      <c r="AL11" s="404" t="s">
        <v>40</v>
      </c>
      <c r="AM11" s="405"/>
    </row>
    <row r="12" spans="1:46" s="60" customFormat="1" ht="6.75" customHeight="1" x14ac:dyDescent="0.2">
      <c r="A12" s="242"/>
      <c r="B12" s="59"/>
      <c r="C12" s="59"/>
      <c r="D12" s="59"/>
      <c r="E12" s="59"/>
      <c r="F12" s="59"/>
      <c r="G12" s="59"/>
      <c r="H12" s="59"/>
      <c r="I12" s="59"/>
      <c r="J12" s="59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50"/>
      <c r="AL12" s="50"/>
      <c r="AM12" s="239"/>
      <c r="AT12" s="61"/>
    </row>
    <row r="13" spans="1:46" s="57" customFormat="1" ht="12" customHeight="1" x14ac:dyDescent="0.2">
      <c r="A13" s="237" t="s">
        <v>41</v>
      </c>
      <c r="B13" s="50"/>
      <c r="C13" s="50"/>
      <c r="D13" s="50"/>
      <c r="E13" s="49"/>
      <c r="F13" s="49"/>
      <c r="G13" s="49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6" t="s">
        <v>42</v>
      </c>
      <c r="X13" s="50"/>
      <c r="Y13" s="50"/>
      <c r="Z13" s="49"/>
      <c r="AA13" s="50"/>
      <c r="AB13" s="50"/>
      <c r="AC13" s="50"/>
      <c r="AD13" s="50"/>
      <c r="AE13" s="50"/>
      <c r="AF13" s="56" t="s">
        <v>43</v>
      </c>
      <c r="AG13" s="50"/>
      <c r="AH13" s="50"/>
      <c r="AI13" s="49"/>
      <c r="AJ13" s="50"/>
      <c r="AK13" s="50"/>
      <c r="AL13" s="50"/>
      <c r="AM13" s="239"/>
      <c r="AT13" s="58"/>
    </row>
    <row r="14" spans="1:46" s="57" customFormat="1" ht="21" customHeight="1" x14ac:dyDescent="0.2">
      <c r="A14" s="330" t="s">
        <v>108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2"/>
      <c r="W14" s="333" t="s">
        <v>200</v>
      </c>
      <c r="X14" s="334"/>
      <c r="Y14" s="334"/>
      <c r="Z14" s="334"/>
      <c r="AA14" s="334"/>
      <c r="AB14" s="334"/>
      <c r="AC14" s="334"/>
      <c r="AD14" s="334"/>
      <c r="AE14" s="335"/>
      <c r="AF14" s="336">
        <v>43009</v>
      </c>
      <c r="AG14" s="337"/>
      <c r="AH14" s="337"/>
      <c r="AI14" s="337"/>
      <c r="AJ14" s="337"/>
      <c r="AK14" s="337"/>
      <c r="AL14" s="337"/>
      <c r="AM14" s="338"/>
      <c r="AT14" s="58"/>
    </row>
    <row r="15" spans="1:46" ht="6" customHeight="1" x14ac:dyDescent="0.2">
      <c r="A15" s="245"/>
      <c r="B15" s="220"/>
      <c r="C15" s="220"/>
      <c r="D15" s="220"/>
      <c r="E15" s="220"/>
      <c r="F15" s="220"/>
      <c r="G15" s="220"/>
      <c r="H15" s="220"/>
      <c r="I15" s="220"/>
      <c r="J15" s="220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46"/>
    </row>
    <row r="16" spans="1:46" ht="11.25" customHeight="1" x14ac:dyDescent="0.2">
      <c r="A16" s="247" t="s">
        <v>44</v>
      </c>
      <c r="B16" s="222"/>
      <c r="C16" s="222"/>
      <c r="D16" s="222"/>
      <c r="E16" s="222"/>
      <c r="F16" s="224" t="s">
        <v>197</v>
      </c>
      <c r="G16" s="222"/>
      <c r="H16" s="222"/>
      <c r="I16" s="222"/>
      <c r="J16" s="222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48"/>
      <c r="AN16" s="65" t="b">
        <v>0</v>
      </c>
    </row>
    <row r="17" spans="1:51" ht="6.75" customHeight="1" x14ac:dyDescent="0.2">
      <c r="A17" s="241"/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239"/>
    </row>
    <row r="18" spans="1:51" ht="12.6" customHeight="1" x14ac:dyDescent="0.2">
      <c r="A18" s="320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2"/>
      <c r="P18" s="339" t="s">
        <v>45</v>
      </c>
      <c r="Q18" s="340"/>
      <c r="R18" s="340"/>
      <c r="S18" s="340"/>
      <c r="T18" s="340"/>
      <c r="U18" s="340"/>
      <c r="V18" s="340"/>
      <c r="W18" s="340"/>
      <c r="X18" s="343" t="s">
        <v>46</v>
      </c>
      <c r="Y18" s="344"/>
      <c r="Z18" s="344"/>
      <c r="AA18" s="344"/>
      <c r="AB18" s="344"/>
      <c r="AC18" s="344"/>
      <c r="AD18" s="344"/>
      <c r="AE18" s="344"/>
      <c r="AF18" s="344"/>
      <c r="AG18" s="344"/>
      <c r="AH18" s="345"/>
      <c r="AI18" s="349">
        <v>0.2631</v>
      </c>
      <c r="AJ18" s="350"/>
      <c r="AK18" s="350"/>
      <c r="AL18" s="350"/>
      <c r="AM18" s="351"/>
    </row>
    <row r="19" spans="1:51" ht="12.6" customHeight="1" x14ac:dyDescent="0.2">
      <c r="A19" s="323"/>
      <c r="B19" s="324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5"/>
      <c r="P19" s="341"/>
      <c r="Q19" s="342"/>
      <c r="R19" s="342"/>
      <c r="S19" s="342"/>
      <c r="T19" s="342"/>
      <c r="U19" s="342"/>
      <c r="V19" s="342"/>
      <c r="W19" s="342"/>
      <c r="X19" s="346"/>
      <c r="Y19" s="347"/>
      <c r="Z19" s="347"/>
      <c r="AA19" s="347"/>
      <c r="AB19" s="347"/>
      <c r="AC19" s="347"/>
      <c r="AD19" s="347"/>
      <c r="AE19" s="347"/>
      <c r="AF19" s="347"/>
      <c r="AG19" s="347"/>
      <c r="AH19" s="348"/>
      <c r="AI19" s="352"/>
      <c r="AJ19" s="353"/>
      <c r="AK19" s="353"/>
      <c r="AL19" s="353"/>
      <c r="AM19" s="354"/>
    </row>
    <row r="20" spans="1:51" ht="17.25" hidden="1" customHeight="1" x14ac:dyDescent="0.2">
      <c r="A20" s="249" t="s">
        <v>47</v>
      </c>
      <c r="B20" s="66"/>
      <c r="C20" s="66"/>
      <c r="D20" s="66"/>
      <c r="E20" s="66"/>
      <c r="F20" s="66"/>
      <c r="G20" s="66"/>
      <c r="H20" s="66"/>
      <c r="I20" s="66"/>
      <c r="J20" s="67" t="s">
        <v>48</v>
      </c>
      <c r="K20" s="355">
        <v>3.2000000000000002E-3</v>
      </c>
      <c r="L20" s="355"/>
      <c r="M20" s="68" t="s">
        <v>49</v>
      </c>
      <c r="N20" s="355">
        <v>7.4000000000000003E-3</v>
      </c>
      <c r="O20" s="416"/>
      <c r="P20" s="69" t="s">
        <v>50</v>
      </c>
      <c r="Q20" s="70"/>
      <c r="R20" s="70"/>
      <c r="S20" s="70"/>
      <c r="T20" s="70"/>
      <c r="U20" s="70"/>
      <c r="V20" s="417">
        <v>7.1999999999999998E-3</v>
      </c>
      <c r="W20" s="418"/>
      <c r="X20" s="406" t="s">
        <v>130</v>
      </c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  <c r="AI20" s="406"/>
      <c r="AJ20" s="406"/>
      <c r="AK20" s="406"/>
      <c r="AL20" s="406"/>
      <c r="AM20" s="407"/>
      <c r="AR20" s="52"/>
      <c r="AT20" s="51"/>
    </row>
    <row r="21" spans="1:51" ht="17.25" hidden="1" customHeight="1" x14ac:dyDescent="0.2">
      <c r="A21" s="250" t="s">
        <v>51</v>
      </c>
      <c r="B21" s="71"/>
      <c r="C21" s="71"/>
      <c r="D21" s="71"/>
      <c r="E21" s="71"/>
      <c r="F21" s="71"/>
      <c r="G21" s="71"/>
      <c r="H21" s="71"/>
      <c r="I21" s="71"/>
      <c r="J21" s="72" t="s">
        <v>48</v>
      </c>
      <c r="K21" s="412">
        <v>5.0000000000000001E-3</v>
      </c>
      <c r="L21" s="412"/>
      <c r="M21" s="73" t="s">
        <v>49</v>
      </c>
      <c r="N21" s="412">
        <v>9.7000000000000003E-3</v>
      </c>
      <c r="O21" s="413"/>
      <c r="P21" s="74" t="s">
        <v>52</v>
      </c>
      <c r="Q21" s="75"/>
      <c r="R21" s="75"/>
      <c r="S21" s="75"/>
      <c r="T21" s="75"/>
      <c r="U21" s="75"/>
      <c r="V21" s="414">
        <v>9.5999999999999992E-3</v>
      </c>
      <c r="W21" s="415"/>
      <c r="X21" s="408"/>
      <c r="Y21" s="408"/>
      <c r="Z21" s="408"/>
      <c r="AA21" s="408"/>
      <c r="AB21" s="408"/>
      <c r="AC21" s="408"/>
      <c r="AD21" s="408"/>
      <c r="AE21" s="408"/>
      <c r="AF21" s="408"/>
      <c r="AG21" s="408"/>
      <c r="AH21" s="408"/>
      <c r="AI21" s="408"/>
      <c r="AJ21" s="408"/>
      <c r="AK21" s="408"/>
      <c r="AL21" s="408"/>
      <c r="AM21" s="409"/>
      <c r="AR21" s="52"/>
      <c r="AT21" s="51"/>
    </row>
    <row r="22" spans="1:51" ht="17.25" hidden="1" customHeight="1" x14ac:dyDescent="0.2">
      <c r="A22" s="250" t="s">
        <v>53</v>
      </c>
      <c r="B22" s="71"/>
      <c r="C22" s="71"/>
      <c r="D22" s="71"/>
      <c r="E22" s="71"/>
      <c r="F22" s="71"/>
      <c r="G22" s="71"/>
      <c r="H22" s="71"/>
      <c r="I22" s="71"/>
      <c r="J22" s="72" t="s">
        <v>48</v>
      </c>
      <c r="K22" s="412">
        <v>1.0200000000000001E-2</v>
      </c>
      <c r="L22" s="412"/>
      <c r="M22" s="73" t="s">
        <v>49</v>
      </c>
      <c r="N22" s="412">
        <v>1.21E-2</v>
      </c>
      <c r="O22" s="413"/>
      <c r="P22" s="74" t="s">
        <v>54</v>
      </c>
      <c r="Q22" s="75"/>
      <c r="R22" s="75"/>
      <c r="S22" s="75"/>
      <c r="T22" s="75"/>
      <c r="U22" s="75"/>
      <c r="V22" s="414">
        <v>1.21E-2</v>
      </c>
      <c r="W22" s="415"/>
      <c r="X22" s="408"/>
      <c r="Y22" s="408"/>
      <c r="Z22" s="408"/>
      <c r="AA22" s="408"/>
      <c r="AB22" s="408"/>
      <c r="AC22" s="408"/>
      <c r="AD22" s="408"/>
      <c r="AE22" s="408"/>
      <c r="AF22" s="408"/>
      <c r="AG22" s="408"/>
      <c r="AH22" s="408"/>
      <c r="AI22" s="408"/>
      <c r="AJ22" s="408"/>
      <c r="AK22" s="408"/>
      <c r="AL22" s="408"/>
      <c r="AM22" s="409"/>
      <c r="AR22" s="52"/>
      <c r="AT22" s="51"/>
    </row>
    <row r="23" spans="1:51" ht="17.25" hidden="1" customHeight="1" x14ac:dyDescent="0.2">
      <c r="A23" s="250" t="s">
        <v>55</v>
      </c>
      <c r="B23" s="71"/>
      <c r="C23" s="71"/>
      <c r="D23" s="71"/>
      <c r="E23" s="71"/>
      <c r="F23" s="71"/>
      <c r="G23" s="71"/>
      <c r="H23" s="71"/>
      <c r="I23" s="71"/>
      <c r="J23" s="72" t="s">
        <v>48</v>
      </c>
      <c r="K23" s="412">
        <v>3.7999999999999999E-2</v>
      </c>
      <c r="L23" s="412"/>
      <c r="M23" s="73" t="s">
        <v>49</v>
      </c>
      <c r="N23" s="412">
        <v>4.6699999999999998E-2</v>
      </c>
      <c r="O23" s="413"/>
      <c r="P23" s="74" t="s">
        <v>56</v>
      </c>
      <c r="Q23" s="75"/>
      <c r="R23" s="75"/>
      <c r="S23" s="75"/>
      <c r="T23" s="75"/>
      <c r="U23" s="75"/>
      <c r="V23" s="414">
        <v>4.6699999999999998E-2</v>
      </c>
      <c r="W23" s="415"/>
      <c r="X23" s="408"/>
      <c r="Y23" s="408"/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408"/>
      <c r="AK23" s="408"/>
      <c r="AL23" s="408"/>
      <c r="AM23" s="409"/>
      <c r="AR23" s="52"/>
      <c r="AT23" s="51"/>
    </row>
    <row r="24" spans="1:51" ht="17.25" hidden="1" customHeight="1" x14ac:dyDescent="0.2">
      <c r="A24" s="250" t="s">
        <v>57</v>
      </c>
      <c r="B24" s="71"/>
      <c r="C24" s="71"/>
      <c r="D24" s="71"/>
      <c r="E24" s="71"/>
      <c r="F24" s="71"/>
      <c r="G24" s="71"/>
      <c r="H24" s="71"/>
      <c r="I24" s="71"/>
      <c r="J24" s="72" t="s">
        <v>48</v>
      </c>
      <c r="K24" s="412">
        <v>6.6400000000000001E-2</v>
      </c>
      <c r="L24" s="412"/>
      <c r="M24" s="73" t="s">
        <v>49</v>
      </c>
      <c r="N24" s="412">
        <v>8.6900000000000005E-2</v>
      </c>
      <c r="O24" s="413"/>
      <c r="P24" s="74" t="s">
        <v>58</v>
      </c>
      <c r="Q24" s="75"/>
      <c r="R24" s="75"/>
      <c r="S24" s="75"/>
      <c r="T24" s="75"/>
      <c r="U24" s="75"/>
      <c r="V24" s="414">
        <v>8.6900000000000005E-2</v>
      </c>
      <c r="W24" s="415"/>
      <c r="X24" s="408"/>
      <c r="Y24" s="408"/>
      <c r="Z24" s="408"/>
      <c r="AA24" s="408"/>
      <c r="AB24" s="408"/>
      <c r="AC24" s="408"/>
      <c r="AD24" s="408"/>
      <c r="AE24" s="408"/>
      <c r="AF24" s="408"/>
      <c r="AG24" s="408"/>
      <c r="AH24" s="408"/>
      <c r="AI24" s="408"/>
      <c r="AJ24" s="408"/>
      <c r="AK24" s="408"/>
      <c r="AL24" s="408"/>
      <c r="AM24" s="409"/>
      <c r="AT24" s="51"/>
    </row>
    <row r="25" spans="1:51" ht="17.25" hidden="1" customHeight="1" x14ac:dyDescent="0.2">
      <c r="A25" s="251" t="s">
        <v>59</v>
      </c>
      <c r="B25" s="76"/>
      <c r="C25" s="172" t="s">
        <v>69</v>
      </c>
      <c r="D25" s="172" t="s">
        <v>72</v>
      </c>
      <c r="E25" s="77" t="s">
        <v>73</v>
      </c>
      <c r="F25" s="173">
        <v>0.02</v>
      </c>
      <c r="G25" s="76"/>
      <c r="H25" s="76"/>
      <c r="I25" s="76"/>
      <c r="J25" s="384">
        <v>7.6499999999999999E-2</v>
      </c>
      <c r="K25" s="385"/>
      <c r="L25" s="385"/>
      <c r="M25" s="385"/>
      <c r="N25" s="385"/>
      <c r="O25" s="386"/>
      <c r="P25" s="78" t="s">
        <v>60</v>
      </c>
      <c r="Q25" s="79"/>
      <c r="R25" s="79"/>
      <c r="S25" s="79"/>
      <c r="T25" s="79"/>
      <c r="U25" s="79"/>
      <c r="V25" s="419">
        <v>7.6499999999999999E-2</v>
      </c>
      <c r="W25" s="420"/>
      <c r="X25" s="410"/>
      <c r="Y25" s="410"/>
      <c r="Z25" s="410"/>
      <c r="AA25" s="410"/>
      <c r="AB25" s="410"/>
      <c r="AC25" s="410"/>
      <c r="AD25" s="410"/>
      <c r="AE25" s="410"/>
      <c r="AF25" s="410"/>
      <c r="AG25" s="410"/>
      <c r="AH25" s="410"/>
      <c r="AI25" s="410"/>
      <c r="AJ25" s="410"/>
      <c r="AK25" s="410"/>
      <c r="AL25" s="410"/>
      <c r="AM25" s="411"/>
      <c r="AT25" s="51"/>
    </row>
    <row r="26" spans="1:51" ht="6" customHeight="1" x14ac:dyDescent="0.2">
      <c r="A26" s="241"/>
      <c r="B26" s="49"/>
      <c r="C26" s="49"/>
      <c r="D26" s="49"/>
      <c r="E26" s="49"/>
      <c r="F26" s="49"/>
      <c r="G26" s="49"/>
      <c r="H26" s="49"/>
      <c r="I26" s="49"/>
      <c r="J26" s="49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239"/>
    </row>
    <row r="27" spans="1:51" ht="12" customHeight="1" x14ac:dyDescent="0.2">
      <c r="A27" s="356" t="s">
        <v>0</v>
      </c>
      <c r="B27" s="80"/>
      <c r="C27" s="81"/>
      <c r="D27" s="82"/>
      <c r="E27" s="81"/>
      <c r="F27" s="339" t="s">
        <v>61</v>
      </c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59"/>
      <c r="S27" s="339" t="s">
        <v>62</v>
      </c>
      <c r="T27" s="359"/>
      <c r="U27" s="364" t="s">
        <v>63</v>
      </c>
      <c r="V27" s="365"/>
      <c r="W27" s="366"/>
      <c r="X27" s="373" t="s">
        <v>64</v>
      </c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74"/>
      <c r="AM27" s="375"/>
      <c r="AR27" s="376" t="s">
        <v>65</v>
      </c>
      <c r="AS27" s="376"/>
    </row>
    <row r="28" spans="1:51" ht="12" customHeight="1" x14ac:dyDescent="0.2">
      <c r="A28" s="357"/>
      <c r="B28" s="84" t="s">
        <v>1</v>
      </c>
      <c r="C28" s="85"/>
      <c r="D28" s="377" t="s">
        <v>66</v>
      </c>
      <c r="E28" s="378"/>
      <c r="F28" s="360"/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2"/>
      <c r="S28" s="360"/>
      <c r="T28" s="362"/>
      <c r="U28" s="367"/>
      <c r="V28" s="368"/>
      <c r="W28" s="369"/>
      <c r="X28" s="373" t="s">
        <v>67</v>
      </c>
      <c r="Y28" s="374"/>
      <c r="Z28" s="374"/>
      <c r="AA28" s="374"/>
      <c r="AB28" s="374"/>
      <c r="AC28" s="374"/>
      <c r="AD28" s="374"/>
      <c r="AE28" s="379" t="s">
        <v>68</v>
      </c>
      <c r="AF28" s="374"/>
      <c r="AG28" s="374"/>
      <c r="AH28" s="374"/>
      <c r="AI28" s="374"/>
      <c r="AJ28" s="374"/>
      <c r="AK28" s="374"/>
      <c r="AL28" s="374"/>
      <c r="AM28" s="375"/>
      <c r="AR28" s="83" t="s">
        <v>69</v>
      </c>
      <c r="AS28" s="86">
        <v>0.02</v>
      </c>
    </row>
    <row r="29" spans="1:51" ht="12" customHeight="1" x14ac:dyDescent="0.2">
      <c r="A29" s="358"/>
      <c r="B29" s="87"/>
      <c r="C29" s="88"/>
      <c r="D29" s="89"/>
      <c r="E29" s="88"/>
      <c r="F29" s="341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63"/>
      <c r="S29" s="341"/>
      <c r="T29" s="363"/>
      <c r="U29" s="370"/>
      <c r="V29" s="371"/>
      <c r="W29" s="372"/>
      <c r="X29" s="341" t="s">
        <v>70</v>
      </c>
      <c r="Y29" s="342"/>
      <c r="Z29" s="363"/>
      <c r="AA29" s="341" t="s">
        <v>71</v>
      </c>
      <c r="AB29" s="342"/>
      <c r="AC29" s="342"/>
      <c r="AD29" s="342"/>
      <c r="AE29" s="380" t="s">
        <v>70</v>
      </c>
      <c r="AF29" s="342"/>
      <c r="AG29" s="363"/>
      <c r="AH29" s="381" t="s">
        <v>71</v>
      </c>
      <c r="AI29" s="382"/>
      <c r="AJ29" s="382"/>
      <c r="AK29" s="382"/>
      <c r="AL29" s="382"/>
      <c r="AM29" s="383"/>
      <c r="AR29" s="83" t="s">
        <v>72</v>
      </c>
      <c r="AS29" s="86">
        <v>6.4999999999999997E-3</v>
      </c>
    </row>
    <row r="30" spans="1:51" x14ac:dyDescent="0.2">
      <c r="A30" s="263">
        <f>MEMORIA!A10</f>
        <v>1</v>
      </c>
      <c r="B30" s="421"/>
      <c r="C30" s="422"/>
      <c r="D30" s="421"/>
      <c r="E30" s="422"/>
      <c r="F30" s="423" t="str">
        <f>MEMORIA!B10</f>
        <v>SERVIÇOS PRELIMINARES</v>
      </c>
      <c r="G30" s="424"/>
      <c r="H30" s="424"/>
      <c r="I30" s="424"/>
      <c r="J30" s="424"/>
      <c r="K30" s="424"/>
      <c r="L30" s="424"/>
      <c r="M30" s="424"/>
      <c r="N30" s="424"/>
      <c r="O30" s="424"/>
      <c r="P30" s="424"/>
      <c r="Q30" s="424"/>
      <c r="R30" s="425"/>
      <c r="S30" s="426"/>
      <c r="T30" s="427"/>
      <c r="U30" s="428"/>
      <c r="V30" s="429"/>
      <c r="W30" s="430"/>
      <c r="X30" s="431"/>
      <c r="Y30" s="432"/>
      <c r="Z30" s="433"/>
      <c r="AA30" s="434" t="str">
        <f>IF(S30="","",ROUND(U30*X30,2))</f>
        <v/>
      </c>
      <c r="AB30" s="435"/>
      <c r="AC30" s="435"/>
      <c r="AD30" s="436"/>
      <c r="AE30" s="451" t="str">
        <f>IF(S30="","",ROUND(X30*(1+$AI$18),2))</f>
        <v/>
      </c>
      <c r="AF30" s="452"/>
      <c r="AG30" s="452"/>
      <c r="AH30" s="452" t="str">
        <f>IF(S30="","",ROUND(U30*AE30,2))</f>
        <v/>
      </c>
      <c r="AI30" s="452"/>
      <c r="AJ30" s="452"/>
      <c r="AK30" s="452"/>
      <c r="AL30" s="452"/>
      <c r="AM30" s="453"/>
      <c r="AR30" s="83" t="s">
        <v>73</v>
      </c>
      <c r="AS30" s="86">
        <v>0.03</v>
      </c>
      <c r="AU30" s="57"/>
      <c r="AV30" s="57"/>
      <c r="AW30" s="328"/>
      <c r="AX30" s="328"/>
      <c r="AY30" s="328"/>
    </row>
    <row r="31" spans="1:51" ht="26.25" customHeight="1" x14ac:dyDescent="0.2">
      <c r="A31" s="252" t="str">
        <f>MEMORIA!A11</f>
        <v>1.1</v>
      </c>
      <c r="B31" s="454" t="s">
        <v>104</v>
      </c>
      <c r="C31" s="455"/>
      <c r="D31" s="456" t="s">
        <v>74</v>
      </c>
      <c r="E31" s="457"/>
      <c r="F31" s="458" t="str">
        <f>MEMORIA!B11</f>
        <v>PLACA DE OBRA EM CHAPA DE ACO GALVANIZADO</v>
      </c>
      <c r="G31" s="459"/>
      <c r="H31" s="459"/>
      <c r="I31" s="459"/>
      <c r="J31" s="459"/>
      <c r="K31" s="459"/>
      <c r="L31" s="459"/>
      <c r="M31" s="459"/>
      <c r="N31" s="459"/>
      <c r="O31" s="459"/>
      <c r="P31" s="459"/>
      <c r="Q31" s="459"/>
      <c r="R31" s="460"/>
      <c r="S31" s="461" t="s">
        <v>30</v>
      </c>
      <c r="T31" s="462"/>
      <c r="U31" s="463">
        <f>MEMORIA!F11</f>
        <v>2.5</v>
      </c>
      <c r="V31" s="464"/>
      <c r="W31" s="465"/>
      <c r="X31" s="466">
        <v>297.04000000000002</v>
      </c>
      <c r="Y31" s="467"/>
      <c r="Z31" s="468"/>
      <c r="AA31" s="469">
        <f>ROUND(X31*U31,2)</f>
        <v>742.6</v>
      </c>
      <c r="AB31" s="470"/>
      <c r="AC31" s="470"/>
      <c r="AD31" s="471"/>
      <c r="AE31" s="447">
        <f>ROUND(X31*(1+AI$18),2)</f>
        <v>375.19</v>
      </c>
      <c r="AF31" s="437"/>
      <c r="AG31" s="437"/>
      <c r="AH31" s="437">
        <f>ROUND(AE31*U31,2)</f>
        <v>937.98</v>
      </c>
      <c r="AI31" s="437"/>
      <c r="AJ31" s="437"/>
      <c r="AK31" s="437"/>
      <c r="AL31" s="437"/>
      <c r="AM31" s="438"/>
      <c r="AP31" s="90"/>
      <c r="AU31" s="57"/>
      <c r="AV31" s="57"/>
      <c r="AW31" s="328"/>
      <c r="AX31" s="328"/>
      <c r="AY31" s="328"/>
    </row>
    <row r="32" spans="1:51" x14ac:dyDescent="0.2">
      <c r="A32" s="252"/>
      <c r="B32" s="190"/>
      <c r="C32" s="188"/>
      <c r="D32" s="190"/>
      <c r="E32" s="188"/>
      <c r="F32" s="439" t="s">
        <v>75</v>
      </c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1"/>
      <c r="S32" s="191"/>
      <c r="T32" s="189"/>
      <c r="U32" s="185"/>
      <c r="V32" s="186"/>
      <c r="W32" s="187"/>
      <c r="X32" s="442"/>
      <c r="Y32" s="443"/>
      <c r="Z32" s="443"/>
      <c r="AA32" s="444">
        <f>SUM(AA31)</f>
        <v>742.6</v>
      </c>
      <c r="AB32" s="445"/>
      <c r="AC32" s="445"/>
      <c r="AD32" s="446"/>
      <c r="AE32" s="447"/>
      <c r="AF32" s="437"/>
      <c r="AG32" s="437"/>
      <c r="AH32" s="448">
        <f>SUM(AH31)</f>
        <v>937.98</v>
      </c>
      <c r="AI32" s="449"/>
      <c r="AJ32" s="449"/>
      <c r="AK32" s="449"/>
      <c r="AL32" s="449"/>
      <c r="AM32" s="450"/>
      <c r="AP32" s="90"/>
      <c r="AU32" s="57"/>
      <c r="AV32" s="57"/>
      <c r="AW32" s="329"/>
      <c r="AX32" s="329"/>
      <c r="AY32" s="329"/>
    </row>
    <row r="33" spans="1:51" x14ac:dyDescent="0.2">
      <c r="A33" s="252"/>
      <c r="B33" s="487"/>
      <c r="C33" s="455"/>
      <c r="D33" s="488"/>
      <c r="E33" s="457"/>
      <c r="F33" s="489"/>
      <c r="G33" s="490"/>
      <c r="H33" s="490"/>
      <c r="I33" s="490"/>
      <c r="J33" s="490"/>
      <c r="K33" s="490"/>
      <c r="L33" s="490"/>
      <c r="M33" s="490"/>
      <c r="N33" s="490"/>
      <c r="O33" s="490"/>
      <c r="P33" s="490"/>
      <c r="Q33" s="490"/>
      <c r="R33" s="491"/>
      <c r="S33" s="492"/>
      <c r="T33" s="493"/>
      <c r="U33" s="463"/>
      <c r="V33" s="464"/>
      <c r="W33" s="465"/>
      <c r="X33" s="494"/>
      <c r="Y33" s="495"/>
      <c r="Z33" s="495"/>
      <c r="AA33" s="469"/>
      <c r="AB33" s="470"/>
      <c r="AC33" s="470"/>
      <c r="AD33" s="471"/>
      <c r="AE33" s="447"/>
      <c r="AF33" s="437"/>
      <c r="AG33" s="437"/>
      <c r="AH33" s="437"/>
      <c r="AI33" s="437"/>
      <c r="AJ33" s="437"/>
      <c r="AK33" s="437"/>
      <c r="AL33" s="437"/>
      <c r="AM33" s="438"/>
      <c r="AU33" s="57"/>
      <c r="AV33" s="57"/>
      <c r="AW33" s="327"/>
      <c r="AX33" s="327"/>
      <c r="AY33" s="327"/>
    </row>
    <row r="34" spans="1:51" x14ac:dyDescent="0.2">
      <c r="A34" s="262">
        <v>2</v>
      </c>
      <c r="B34" s="472"/>
      <c r="C34" s="473"/>
      <c r="D34" s="474"/>
      <c r="E34" s="475"/>
      <c r="F34" s="476" t="str">
        <f>MEMORIA!B13</f>
        <v>PAVIMENTAÇÃO ASFÁLTICA</v>
      </c>
      <c r="G34" s="477"/>
      <c r="H34" s="477"/>
      <c r="I34" s="477"/>
      <c r="J34" s="477"/>
      <c r="K34" s="477"/>
      <c r="L34" s="477"/>
      <c r="M34" s="477"/>
      <c r="N34" s="477"/>
      <c r="O34" s="477"/>
      <c r="P34" s="477"/>
      <c r="Q34" s="477"/>
      <c r="R34" s="478"/>
      <c r="S34" s="479"/>
      <c r="T34" s="480"/>
      <c r="U34" s="428"/>
      <c r="V34" s="429"/>
      <c r="W34" s="430"/>
      <c r="X34" s="481"/>
      <c r="Y34" s="482"/>
      <c r="Z34" s="483"/>
      <c r="AA34" s="484"/>
      <c r="AB34" s="485"/>
      <c r="AC34" s="485"/>
      <c r="AD34" s="486"/>
      <c r="AE34" s="496"/>
      <c r="AF34" s="497"/>
      <c r="AG34" s="497"/>
      <c r="AH34" s="497"/>
      <c r="AI34" s="497"/>
      <c r="AJ34" s="497"/>
      <c r="AK34" s="497"/>
      <c r="AL34" s="497"/>
      <c r="AM34" s="498"/>
      <c r="AP34" s="97"/>
      <c r="AU34" s="57"/>
      <c r="AV34" s="57"/>
      <c r="AW34" s="327"/>
      <c r="AX34" s="327"/>
      <c r="AY34" s="327"/>
    </row>
    <row r="35" spans="1:51" ht="27.75" customHeight="1" x14ac:dyDescent="0.2">
      <c r="A35" s="253" t="s">
        <v>3</v>
      </c>
      <c r="B35" s="487">
        <v>72961</v>
      </c>
      <c r="C35" s="455"/>
      <c r="D35" s="456" t="s">
        <v>74</v>
      </c>
      <c r="E35" s="457"/>
      <c r="F35" s="499" t="str">
        <f>MEMORIA!B14</f>
        <v xml:space="preserve">REGULARIZACAO E COMPACTACAO DE SUBLEITO ATE 20 CM DE ESPESSURA </v>
      </c>
      <c r="G35" s="459"/>
      <c r="H35" s="459"/>
      <c r="I35" s="459"/>
      <c r="J35" s="459"/>
      <c r="K35" s="459"/>
      <c r="L35" s="459"/>
      <c r="M35" s="459"/>
      <c r="N35" s="459"/>
      <c r="O35" s="459"/>
      <c r="P35" s="459"/>
      <c r="Q35" s="459"/>
      <c r="R35" s="460"/>
      <c r="S35" s="461" t="s">
        <v>30</v>
      </c>
      <c r="T35" s="462"/>
      <c r="U35" s="463">
        <f>MEMORIA!F14</f>
        <v>8219.7050000000017</v>
      </c>
      <c r="V35" s="464"/>
      <c r="W35" s="465"/>
      <c r="X35" s="500">
        <v>1.05</v>
      </c>
      <c r="Y35" s="495"/>
      <c r="Z35" s="495"/>
      <c r="AA35" s="469">
        <f t="shared" ref="AA35:AA41" si="0">ROUND(X35*U35,2)</f>
        <v>8630.69</v>
      </c>
      <c r="AB35" s="470"/>
      <c r="AC35" s="470"/>
      <c r="AD35" s="471"/>
      <c r="AE35" s="447">
        <f t="shared" ref="AE35:AE41" si="1">ROUND(X35*(1+AI$18),2)</f>
        <v>1.33</v>
      </c>
      <c r="AF35" s="437"/>
      <c r="AG35" s="437"/>
      <c r="AH35" s="437">
        <f t="shared" ref="AH35:AH37" si="2">ROUND(AE35*U35,2)</f>
        <v>10932.21</v>
      </c>
      <c r="AI35" s="437"/>
      <c r="AJ35" s="437"/>
      <c r="AK35" s="437"/>
      <c r="AL35" s="437"/>
      <c r="AM35" s="438"/>
      <c r="AP35" s="105"/>
      <c r="AS35" s="90"/>
      <c r="AU35" s="57"/>
      <c r="AV35" s="57"/>
      <c r="AW35" s="328"/>
      <c r="AX35" s="328"/>
      <c r="AY35" s="328"/>
    </row>
    <row r="36" spans="1:51" ht="48" customHeight="1" x14ac:dyDescent="0.2">
      <c r="A36" s="253" t="s">
        <v>22</v>
      </c>
      <c r="B36" s="454">
        <v>72924</v>
      </c>
      <c r="C36" s="455"/>
      <c r="D36" s="456" t="s">
        <v>74</v>
      </c>
      <c r="E36" s="457"/>
      <c r="F36" s="499" t="str">
        <f>MEMORIA!B15</f>
        <v>BASE DE SOLO - BRITA (50/50), MISTURA EM USINA, COMPACTACAO 100% PROCTOR MODIFICADO, EXCLUSIVE ESCAVACAO, CARGA E TRANSPORTE</v>
      </c>
      <c r="G36" s="459"/>
      <c r="H36" s="459"/>
      <c r="I36" s="459"/>
      <c r="J36" s="459"/>
      <c r="K36" s="459"/>
      <c r="L36" s="459"/>
      <c r="M36" s="459"/>
      <c r="N36" s="459"/>
      <c r="O36" s="459"/>
      <c r="P36" s="459"/>
      <c r="Q36" s="459"/>
      <c r="R36" s="460"/>
      <c r="S36" s="461" t="s">
        <v>29</v>
      </c>
      <c r="T36" s="462"/>
      <c r="U36" s="463">
        <f>MEMORIA!J15</f>
        <v>1232.96</v>
      </c>
      <c r="V36" s="464"/>
      <c r="W36" s="465"/>
      <c r="X36" s="500">
        <v>47.51</v>
      </c>
      <c r="Y36" s="495"/>
      <c r="Z36" s="495"/>
      <c r="AA36" s="469">
        <f t="shared" si="0"/>
        <v>58577.93</v>
      </c>
      <c r="AB36" s="470"/>
      <c r="AC36" s="470"/>
      <c r="AD36" s="471"/>
      <c r="AE36" s="447">
        <f t="shared" si="1"/>
        <v>60.01</v>
      </c>
      <c r="AF36" s="437"/>
      <c r="AG36" s="437"/>
      <c r="AH36" s="437">
        <f t="shared" si="2"/>
        <v>73989.929999999993</v>
      </c>
      <c r="AI36" s="437"/>
      <c r="AJ36" s="437"/>
      <c r="AK36" s="437"/>
      <c r="AL36" s="437"/>
      <c r="AM36" s="438"/>
      <c r="AP36" s="90"/>
      <c r="AR36" s="97"/>
      <c r="AU36" s="57"/>
      <c r="AV36" s="57"/>
      <c r="AW36" s="328"/>
      <c r="AX36" s="328"/>
      <c r="AY36" s="328"/>
    </row>
    <row r="37" spans="1:51" ht="51" customHeight="1" x14ac:dyDescent="0.2">
      <c r="A37" s="253" t="s">
        <v>33</v>
      </c>
      <c r="B37" s="454">
        <v>72887</v>
      </c>
      <c r="C37" s="455"/>
      <c r="D37" s="456" t="s">
        <v>74</v>
      </c>
      <c r="E37" s="457"/>
      <c r="F37" s="499" t="str">
        <f>MEMORIA!B16</f>
        <v>TRANSPORTE COMERCIAL COM CAMINHAO BASCULANTE 6 M3, RODOVIA PAVIMENTADA (mistura solo-brita da usina até o local da obra) - DMT = 2,77 KM</v>
      </c>
      <c r="G37" s="459"/>
      <c r="H37" s="459"/>
      <c r="I37" s="459"/>
      <c r="J37" s="459"/>
      <c r="K37" s="459"/>
      <c r="L37" s="459"/>
      <c r="M37" s="459"/>
      <c r="N37" s="459"/>
      <c r="O37" s="459"/>
      <c r="P37" s="459"/>
      <c r="Q37" s="459"/>
      <c r="R37" s="460"/>
      <c r="S37" s="461" t="s">
        <v>76</v>
      </c>
      <c r="T37" s="462"/>
      <c r="U37" s="463">
        <f>MEMORIA!O16</f>
        <v>3415.3</v>
      </c>
      <c r="V37" s="464"/>
      <c r="W37" s="465"/>
      <c r="X37" s="500">
        <v>0.95</v>
      </c>
      <c r="Y37" s="495"/>
      <c r="Z37" s="495"/>
      <c r="AA37" s="469">
        <f t="shared" si="0"/>
        <v>3244.54</v>
      </c>
      <c r="AB37" s="470"/>
      <c r="AC37" s="470"/>
      <c r="AD37" s="471"/>
      <c r="AE37" s="447">
        <f t="shared" si="1"/>
        <v>1.2</v>
      </c>
      <c r="AF37" s="437"/>
      <c r="AG37" s="437"/>
      <c r="AH37" s="437">
        <f t="shared" si="2"/>
        <v>4098.3599999999997</v>
      </c>
      <c r="AI37" s="437"/>
      <c r="AJ37" s="437"/>
      <c r="AK37" s="437"/>
      <c r="AL37" s="437"/>
      <c r="AM37" s="438"/>
      <c r="AP37" s="105"/>
      <c r="AU37" s="57"/>
      <c r="AV37" s="57"/>
      <c r="AW37" s="328"/>
      <c r="AX37" s="328"/>
      <c r="AY37" s="328"/>
    </row>
    <row r="38" spans="1:51" ht="25.5" customHeight="1" x14ac:dyDescent="0.2">
      <c r="A38" s="253" t="s">
        <v>97</v>
      </c>
      <c r="B38" s="487">
        <v>96401</v>
      </c>
      <c r="C38" s="455"/>
      <c r="D38" s="456" t="s">
        <v>74</v>
      </c>
      <c r="E38" s="457"/>
      <c r="F38" s="499" t="str">
        <f>MEMORIA!B17</f>
        <v>EXECUÇÃO DE IMPRIMAÇÃO COM ASFALTO DILUÍDO CM-30. AF_09/2017</v>
      </c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60"/>
      <c r="S38" s="461" t="s">
        <v>30</v>
      </c>
      <c r="T38" s="462"/>
      <c r="U38" s="463">
        <f>MEMORIA!F17</f>
        <v>7278.4049999999997</v>
      </c>
      <c r="V38" s="464"/>
      <c r="W38" s="465"/>
      <c r="X38" s="494">
        <v>4</v>
      </c>
      <c r="Y38" s="495"/>
      <c r="Z38" s="495"/>
      <c r="AA38" s="469">
        <f t="shared" si="0"/>
        <v>29113.62</v>
      </c>
      <c r="AB38" s="470"/>
      <c r="AC38" s="470"/>
      <c r="AD38" s="471"/>
      <c r="AE38" s="447">
        <f t="shared" si="1"/>
        <v>5.05</v>
      </c>
      <c r="AF38" s="437"/>
      <c r="AG38" s="437"/>
      <c r="AH38" s="437">
        <f t="shared" ref="AH38:AH41" si="3">ROUND(AE38*U38,2)</f>
        <v>36755.949999999997</v>
      </c>
      <c r="AI38" s="437"/>
      <c r="AJ38" s="437"/>
      <c r="AK38" s="437"/>
      <c r="AL38" s="437"/>
      <c r="AM38" s="438"/>
      <c r="AU38" s="57"/>
      <c r="AV38" s="57"/>
      <c r="AW38" s="328"/>
      <c r="AX38" s="328"/>
      <c r="AY38" s="328"/>
    </row>
    <row r="39" spans="1:51" ht="18.75" customHeight="1" x14ac:dyDescent="0.2">
      <c r="A39" s="253" t="s">
        <v>98</v>
      </c>
      <c r="B39" s="487">
        <v>72942</v>
      </c>
      <c r="C39" s="455"/>
      <c r="D39" s="456" t="s">
        <v>74</v>
      </c>
      <c r="E39" s="457"/>
      <c r="F39" s="499" t="str">
        <f>MEMORIA!B18</f>
        <v>PINTURA DE LIGACAO COM EMULSAO RR-1C</v>
      </c>
      <c r="G39" s="459"/>
      <c r="H39" s="459"/>
      <c r="I39" s="459"/>
      <c r="J39" s="459"/>
      <c r="K39" s="459"/>
      <c r="L39" s="459"/>
      <c r="M39" s="459"/>
      <c r="N39" s="459"/>
      <c r="O39" s="459"/>
      <c r="P39" s="459"/>
      <c r="Q39" s="459"/>
      <c r="R39" s="460"/>
      <c r="S39" s="461" t="s">
        <v>30</v>
      </c>
      <c r="T39" s="462"/>
      <c r="U39" s="463">
        <f>MEMORIA!F18</f>
        <v>7278.4049999999997</v>
      </c>
      <c r="V39" s="464"/>
      <c r="W39" s="465"/>
      <c r="X39" s="494">
        <v>1.1399999999999999</v>
      </c>
      <c r="Y39" s="495"/>
      <c r="Z39" s="495"/>
      <c r="AA39" s="469">
        <f t="shared" si="0"/>
        <v>8297.3799999999992</v>
      </c>
      <c r="AB39" s="470"/>
      <c r="AC39" s="470"/>
      <c r="AD39" s="471"/>
      <c r="AE39" s="447">
        <f t="shared" si="1"/>
        <v>1.44</v>
      </c>
      <c r="AF39" s="437"/>
      <c r="AG39" s="437"/>
      <c r="AH39" s="437">
        <f t="shared" si="3"/>
        <v>10480.9</v>
      </c>
      <c r="AI39" s="437"/>
      <c r="AJ39" s="437"/>
      <c r="AK39" s="437"/>
      <c r="AL39" s="437"/>
      <c r="AM39" s="438"/>
      <c r="AR39" s="105"/>
      <c r="AU39" s="57"/>
      <c r="AV39" s="57"/>
      <c r="AW39" s="328"/>
      <c r="AX39" s="328"/>
      <c r="AY39" s="328"/>
    </row>
    <row r="40" spans="1:51" ht="53.25" customHeight="1" x14ac:dyDescent="0.2">
      <c r="A40" s="253" t="s">
        <v>99</v>
      </c>
      <c r="B40" s="472">
        <v>96630</v>
      </c>
      <c r="C40" s="473"/>
      <c r="D40" s="456" t="s">
        <v>211</v>
      </c>
      <c r="E40" s="457"/>
      <c r="F40" s="499" t="str">
        <f>MEMORIA!B19</f>
        <v xml:space="preserve">FABRICAÇÃO E APLICAÇÃO DE CONCRETO BETUMINOSO USINADO A QUENTE(CBUQ), CAP 50/70. EXCLUSIVE TRANSPORTE </v>
      </c>
      <c r="G40" s="459"/>
      <c r="H40" s="459"/>
      <c r="I40" s="459"/>
      <c r="J40" s="459"/>
      <c r="K40" s="459"/>
      <c r="L40" s="459"/>
      <c r="M40" s="459"/>
      <c r="N40" s="459"/>
      <c r="O40" s="459"/>
      <c r="P40" s="459"/>
      <c r="Q40" s="459"/>
      <c r="R40" s="460"/>
      <c r="S40" s="461" t="s">
        <v>224</v>
      </c>
      <c r="T40" s="462"/>
      <c r="U40" s="463">
        <f>MEMORIA!L19</f>
        <v>524.04</v>
      </c>
      <c r="V40" s="464"/>
      <c r="W40" s="465"/>
      <c r="X40" s="500">
        <v>189.01</v>
      </c>
      <c r="Y40" s="495"/>
      <c r="Z40" s="495"/>
      <c r="AA40" s="469">
        <f t="shared" si="0"/>
        <v>99048.8</v>
      </c>
      <c r="AB40" s="470"/>
      <c r="AC40" s="470"/>
      <c r="AD40" s="471"/>
      <c r="AE40" s="447">
        <f t="shared" si="1"/>
        <v>238.74</v>
      </c>
      <c r="AF40" s="437"/>
      <c r="AG40" s="437"/>
      <c r="AH40" s="437">
        <f t="shared" si="3"/>
        <v>125109.31</v>
      </c>
      <c r="AI40" s="437"/>
      <c r="AJ40" s="437"/>
      <c r="AK40" s="437"/>
      <c r="AL40" s="437"/>
      <c r="AM40" s="438"/>
      <c r="AP40" s="90"/>
      <c r="AU40" s="57"/>
      <c r="AV40" s="57"/>
      <c r="AW40" s="328"/>
      <c r="AX40" s="328"/>
      <c r="AY40" s="328"/>
    </row>
    <row r="41" spans="1:51" ht="41.25" customHeight="1" x14ac:dyDescent="0.2">
      <c r="A41" s="253" t="s">
        <v>100</v>
      </c>
      <c r="B41" s="487">
        <v>72843</v>
      </c>
      <c r="C41" s="455"/>
      <c r="D41" s="456" t="s">
        <v>74</v>
      </c>
      <c r="E41" s="457"/>
      <c r="F41" s="499" t="str">
        <f>MEMORIA!B20</f>
        <v>TRANSPORTE COMERCIAL COM CAMINHAO BASCULANTE 6 M3, RODOVIA PAVIMENTADA (CBUQ) - DMT =84,2 KM</v>
      </c>
      <c r="G41" s="459"/>
      <c r="H41" s="459"/>
      <c r="I41" s="459"/>
      <c r="J41" s="459"/>
      <c r="K41" s="459"/>
      <c r="L41" s="459"/>
      <c r="M41" s="459"/>
      <c r="N41" s="459"/>
      <c r="O41" s="459"/>
      <c r="P41" s="459"/>
      <c r="Q41" s="459"/>
      <c r="R41" s="460"/>
      <c r="S41" s="461" t="s">
        <v>78</v>
      </c>
      <c r="T41" s="462"/>
      <c r="U41" s="463">
        <f>MEMORIA!P20</f>
        <v>44124.17</v>
      </c>
      <c r="V41" s="464"/>
      <c r="W41" s="465"/>
      <c r="X41" s="494">
        <v>0.65</v>
      </c>
      <c r="Y41" s="495"/>
      <c r="Z41" s="495"/>
      <c r="AA41" s="469">
        <f t="shared" si="0"/>
        <v>28680.71</v>
      </c>
      <c r="AB41" s="470"/>
      <c r="AC41" s="470"/>
      <c r="AD41" s="471"/>
      <c r="AE41" s="447">
        <f t="shared" si="1"/>
        <v>0.82</v>
      </c>
      <c r="AF41" s="437"/>
      <c r="AG41" s="437"/>
      <c r="AH41" s="437">
        <f t="shared" si="3"/>
        <v>36181.82</v>
      </c>
      <c r="AI41" s="437"/>
      <c r="AJ41" s="437"/>
      <c r="AK41" s="437"/>
      <c r="AL41" s="437"/>
      <c r="AM41" s="438"/>
      <c r="AU41" s="57"/>
      <c r="AV41" s="57"/>
      <c r="AW41" s="328"/>
      <c r="AX41" s="328"/>
      <c r="AY41" s="328"/>
    </row>
    <row r="42" spans="1:51" ht="21.75" customHeight="1" x14ac:dyDescent="0.2">
      <c r="A42" s="252"/>
      <c r="B42" s="487"/>
      <c r="C42" s="455"/>
      <c r="D42" s="488"/>
      <c r="E42" s="457"/>
      <c r="F42" s="439" t="s">
        <v>77</v>
      </c>
      <c r="G42" s="440"/>
      <c r="H42" s="440"/>
      <c r="I42" s="440"/>
      <c r="J42" s="440"/>
      <c r="K42" s="440"/>
      <c r="L42" s="440"/>
      <c r="M42" s="440"/>
      <c r="N42" s="440"/>
      <c r="O42" s="440"/>
      <c r="P42" s="440"/>
      <c r="Q42" s="440"/>
      <c r="R42" s="441"/>
      <c r="S42" s="461"/>
      <c r="T42" s="462"/>
      <c r="U42" s="463"/>
      <c r="V42" s="464"/>
      <c r="W42" s="465"/>
      <c r="X42" s="494"/>
      <c r="Y42" s="495"/>
      <c r="Z42" s="501"/>
      <c r="AA42" s="444">
        <f>SUM(AA35:AD41)</f>
        <v>235593.66999999998</v>
      </c>
      <c r="AB42" s="445"/>
      <c r="AC42" s="445"/>
      <c r="AD42" s="446"/>
      <c r="AE42" s="447"/>
      <c r="AF42" s="437"/>
      <c r="AG42" s="437"/>
      <c r="AH42" s="448">
        <f>SUM(AH35:AM41)</f>
        <v>297548.48</v>
      </c>
      <c r="AI42" s="449"/>
      <c r="AJ42" s="449"/>
      <c r="AK42" s="449"/>
      <c r="AL42" s="449"/>
      <c r="AM42" s="450"/>
      <c r="AP42" s="90">
        <v>264348.01</v>
      </c>
      <c r="AR42" s="105"/>
      <c r="AU42" s="57"/>
      <c r="AV42" s="57"/>
      <c r="AW42" s="327"/>
      <c r="AX42" s="327"/>
      <c r="AY42" s="327"/>
    </row>
    <row r="43" spans="1:51" ht="15" x14ac:dyDescent="0.2">
      <c r="A43" s="254"/>
      <c r="B43" s="487"/>
      <c r="C43" s="455"/>
      <c r="D43" s="488"/>
      <c r="E43" s="457"/>
      <c r="F43" s="502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4"/>
      <c r="S43" s="461"/>
      <c r="T43" s="462"/>
      <c r="U43" s="505"/>
      <c r="V43" s="506"/>
      <c r="W43" s="507"/>
      <c r="X43" s="508"/>
      <c r="Y43" s="509"/>
      <c r="Z43" s="510"/>
      <c r="AA43" s="511"/>
      <c r="AB43" s="511"/>
      <c r="AC43" s="511"/>
      <c r="AD43" s="512"/>
      <c r="AE43" s="447"/>
      <c r="AF43" s="437"/>
      <c r="AG43" s="437"/>
      <c r="AH43" s="513"/>
      <c r="AI43" s="513"/>
      <c r="AJ43" s="513"/>
      <c r="AK43" s="513"/>
      <c r="AL43" s="513"/>
      <c r="AM43" s="514"/>
      <c r="AU43" s="57"/>
      <c r="AV43" s="57"/>
      <c r="AW43" s="326"/>
      <c r="AX43" s="326"/>
      <c r="AY43" s="326"/>
    </row>
    <row r="44" spans="1:51" ht="15" x14ac:dyDescent="0.2">
      <c r="A44" s="262">
        <v>3</v>
      </c>
      <c r="B44" s="472"/>
      <c r="C44" s="473"/>
      <c r="D44" s="474"/>
      <c r="E44" s="475"/>
      <c r="F44" s="476" t="str">
        <f>MEMORIA!B21</f>
        <v>DRENAGEM SUPERFICIAL</v>
      </c>
      <c r="G44" s="477"/>
      <c r="H44" s="477"/>
      <c r="I44" s="477"/>
      <c r="J44" s="477"/>
      <c r="K44" s="477"/>
      <c r="L44" s="477"/>
      <c r="M44" s="477"/>
      <c r="N44" s="477"/>
      <c r="O44" s="477"/>
      <c r="P44" s="477"/>
      <c r="Q44" s="477"/>
      <c r="R44" s="478"/>
      <c r="S44" s="515"/>
      <c r="T44" s="516"/>
      <c r="U44" s="428"/>
      <c r="V44" s="429"/>
      <c r="W44" s="430"/>
      <c r="X44" s="481"/>
      <c r="Y44" s="482"/>
      <c r="Z44" s="483"/>
      <c r="AA44" s="484"/>
      <c r="AB44" s="485"/>
      <c r="AC44" s="485"/>
      <c r="AD44" s="486"/>
      <c r="AE44" s="496"/>
      <c r="AF44" s="497"/>
      <c r="AG44" s="497"/>
      <c r="AH44" s="497"/>
      <c r="AI44" s="497"/>
      <c r="AJ44" s="497"/>
      <c r="AK44" s="497"/>
      <c r="AL44" s="497"/>
      <c r="AM44" s="498"/>
      <c r="AU44" s="57"/>
      <c r="AV44" s="57"/>
      <c r="AW44" s="327"/>
      <c r="AX44" s="327"/>
      <c r="AY44" s="327"/>
    </row>
    <row r="45" spans="1:51" ht="58.5" customHeight="1" x14ac:dyDescent="0.2">
      <c r="A45" s="253" t="s">
        <v>5</v>
      </c>
      <c r="B45" s="454">
        <v>94273</v>
      </c>
      <c r="C45" s="455"/>
      <c r="D45" s="456" t="s">
        <v>74</v>
      </c>
      <c r="E45" s="457"/>
      <c r="F45" s="499" t="str">
        <f>MEMORIA!B22</f>
        <v>ASSENTAMENTO DE GUIA (MEIO-FIO) EM TRECHO RETO, CONFECCIONADA EM CONCRETO PRÉ-FABRICADO, DIMENSÕES 100X15X13X30 CM (COMPRIMENTO X BASE INFERIOR X BASE SUPERIOR X ALTURA), PARA VIAS URBANAS (USO VIÁRIO). AF_06/2016</v>
      </c>
      <c r="G45" s="459"/>
      <c r="H45" s="459"/>
      <c r="I45" s="459"/>
      <c r="J45" s="459"/>
      <c r="K45" s="459"/>
      <c r="L45" s="459"/>
      <c r="M45" s="459"/>
      <c r="N45" s="459"/>
      <c r="O45" s="459"/>
      <c r="P45" s="459"/>
      <c r="Q45" s="459"/>
      <c r="R45" s="460"/>
      <c r="S45" s="461" t="s">
        <v>80</v>
      </c>
      <c r="T45" s="462"/>
      <c r="U45" s="463">
        <f>MEMORIA!D22</f>
        <v>1851.6000000000001</v>
      </c>
      <c r="V45" s="464"/>
      <c r="W45" s="465"/>
      <c r="X45" s="494">
        <v>32.22</v>
      </c>
      <c r="Y45" s="495"/>
      <c r="Z45" s="495"/>
      <c r="AA45" s="469">
        <f>ROUND(X45*U45,2)</f>
        <v>59658.55</v>
      </c>
      <c r="AB45" s="470"/>
      <c r="AC45" s="470"/>
      <c r="AD45" s="471"/>
      <c r="AE45" s="447">
        <f>ROUND(X45*(1+AI$18),2)</f>
        <v>40.700000000000003</v>
      </c>
      <c r="AF45" s="437"/>
      <c r="AG45" s="437"/>
      <c r="AH45" s="437">
        <f>ROUND(AE45*U45,2)</f>
        <v>75360.12</v>
      </c>
      <c r="AI45" s="437"/>
      <c r="AJ45" s="437"/>
      <c r="AK45" s="437"/>
      <c r="AL45" s="437"/>
      <c r="AM45" s="438"/>
      <c r="AP45" s="97"/>
      <c r="AU45" s="57"/>
      <c r="AV45" s="57"/>
      <c r="AW45" s="328"/>
      <c r="AX45" s="328"/>
      <c r="AY45" s="328"/>
    </row>
    <row r="46" spans="1:51" ht="41.25" customHeight="1" x14ac:dyDescent="0.2">
      <c r="A46" s="253" t="s">
        <v>26</v>
      </c>
      <c r="B46" s="517">
        <v>87612</v>
      </c>
      <c r="C46" s="473"/>
      <c r="D46" s="456" t="s">
        <v>211</v>
      </c>
      <c r="E46" s="457"/>
      <c r="F46" s="499" t="str">
        <f>MEMORIA!B23</f>
        <v xml:space="preserve"> SARJETA  DE CONCRETO, FCK=15 MPA, COM 50CM DE LARGURA E 5 CM DE ESPESSURA. PADRÃO DEOP-MG TIPO A (I=3%)</v>
      </c>
      <c r="G46" s="459"/>
      <c r="H46" s="459"/>
      <c r="I46" s="459"/>
      <c r="J46" s="459"/>
      <c r="K46" s="459"/>
      <c r="L46" s="459"/>
      <c r="M46" s="459"/>
      <c r="N46" s="459"/>
      <c r="O46" s="459"/>
      <c r="P46" s="459"/>
      <c r="Q46" s="459"/>
      <c r="R46" s="460"/>
      <c r="S46" s="461" t="s">
        <v>80</v>
      </c>
      <c r="T46" s="462"/>
      <c r="U46" s="463">
        <f>MEMORIA!D23</f>
        <v>1851.6000000000001</v>
      </c>
      <c r="V46" s="464"/>
      <c r="W46" s="465"/>
      <c r="X46" s="494">
        <v>10.87</v>
      </c>
      <c r="Y46" s="495"/>
      <c r="Z46" s="495"/>
      <c r="AA46" s="469">
        <f>ROUND(X46*U46,2)</f>
        <v>20126.89</v>
      </c>
      <c r="AB46" s="470"/>
      <c r="AC46" s="470"/>
      <c r="AD46" s="471"/>
      <c r="AE46" s="447">
        <f>ROUND(X46*(1+AI$18),2)</f>
        <v>13.73</v>
      </c>
      <c r="AF46" s="437"/>
      <c r="AG46" s="437"/>
      <c r="AH46" s="437">
        <f>ROUND(AE46*U46,2)</f>
        <v>25422.47</v>
      </c>
      <c r="AI46" s="437"/>
      <c r="AJ46" s="437"/>
      <c r="AK46" s="437"/>
      <c r="AL46" s="437"/>
      <c r="AM46" s="438"/>
      <c r="AU46" s="57"/>
      <c r="AV46" s="57"/>
      <c r="AW46" s="328"/>
      <c r="AX46" s="328"/>
      <c r="AY46" s="328"/>
    </row>
    <row r="47" spans="1:51" ht="15.75" customHeight="1" x14ac:dyDescent="0.2">
      <c r="A47" s="253"/>
      <c r="B47" s="487"/>
      <c r="C47" s="455"/>
      <c r="D47" s="456"/>
      <c r="E47" s="457"/>
      <c r="F47" s="439" t="s">
        <v>79</v>
      </c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1"/>
      <c r="S47" s="461"/>
      <c r="T47" s="462"/>
      <c r="U47" s="463"/>
      <c r="V47" s="464"/>
      <c r="W47" s="465"/>
      <c r="X47" s="494"/>
      <c r="Y47" s="495"/>
      <c r="Z47" s="501"/>
      <c r="AA47" s="444">
        <f>SUM(AA45:AD46)</f>
        <v>79785.440000000002</v>
      </c>
      <c r="AB47" s="445"/>
      <c r="AC47" s="445"/>
      <c r="AD47" s="446"/>
      <c r="AE47" s="447"/>
      <c r="AF47" s="437"/>
      <c r="AG47" s="437"/>
      <c r="AH47" s="448">
        <f>SUM(AH45:AM46)</f>
        <v>100782.59</v>
      </c>
      <c r="AI47" s="449"/>
      <c r="AJ47" s="449"/>
      <c r="AK47" s="449"/>
      <c r="AL47" s="449"/>
      <c r="AM47" s="450"/>
      <c r="AP47" s="51">
        <v>146458.82</v>
      </c>
      <c r="AU47" s="57"/>
      <c r="AV47" s="57"/>
      <c r="AW47" s="327"/>
      <c r="AX47" s="327"/>
      <c r="AY47" s="327"/>
    </row>
    <row r="48" spans="1:51" ht="15.75" customHeight="1" x14ac:dyDescent="0.2">
      <c r="A48" s="254"/>
      <c r="B48" s="488"/>
      <c r="C48" s="457"/>
      <c r="D48" s="488"/>
      <c r="E48" s="457"/>
      <c r="F48" s="502"/>
      <c r="G48" s="503"/>
      <c r="H48" s="503"/>
      <c r="I48" s="503"/>
      <c r="J48" s="503"/>
      <c r="K48" s="503"/>
      <c r="L48" s="503"/>
      <c r="M48" s="503"/>
      <c r="N48" s="503"/>
      <c r="O48" s="503"/>
      <c r="P48" s="503"/>
      <c r="Q48" s="503"/>
      <c r="R48" s="504"/>
      <c r="S48" s="461"/>
      <c r="T48" s="462"/>
      <c r="U48" s="505"/>
      <c r="V48" s="506"/>
      <c r="W48" s="507"/>
      <c r="X48" s="508"/>
      <c r="Y48" s="509"/>
      <c r="Z48" s="510"/>
      <c r="AA48" s="511"/>
      <c r="AB48" s="511"/>
      <c r="AC48" s="511"/>
      <c r="AD48" s="512"/>
      <c r="AE48" s="447"/>
      <c r="AF48" s="437"/>
      <c r="AG48" s="437"/>
      <c r="AH48" s="513"/>
      <c r="AI48" s="513"/>
      <c r="AJ48" s="513"/>
      <c r="AK48" s="513"/>
      <c r="AL48" s="513"/>
      <c r="AM48" s="514"/>
      <c r="AU48" s="57"/>
      <c r="AV48" s="57"/>
      <c r="AW48" s="326"/>
      <c r="AX48" s="326"/>
      <c r="AY48" s="326"/>
    </row>
    <row r="49" spans="1:51" ht="15.75" customHeight="1" x14ac:dyDescent="0.2">
      <c r="A49" s="262">
        <v>4</v>
      </c>
      <c r="B49" s="472"/>
      <c r="C49" s="473"/>
      <c r="D49" s="474"/>
      <c r="E49" s="475"/>
      <c r="F49" s="476" t="str">
        <f>MEMORIA!B24</f>
        <v>OBRAS COMPLEMENTARES</v>
      </c>
      <c r="G49" s="477"/>
      <c r="H49" s="477"/>
      <c r="I49" s="477"/>
      <c r="J49" s="477"/>
      <c r="K49" s="477"/>
      <c r="L49" s="477"/>
      <c r="M49" s="477"/>
      <c r="N49" s="477"/>
      <c r="O49" s="477"/>
      <c r="P49" s="477"/>
      <c r="Q49" s="477"/>
      <c r="R49" s="478"/>
      <c r="S49" s="515"/>
      <c r="T49" s="516"/>
      <c r="U49" s="428"/>
      <c r="V49" s="429"/>
      <c r="W49" s="430"/>
      <c r="X49" s="481"/>
      <c r="Y49" s="482"/>
      <c r="Z49" s="483"/>
      <c r="AA49" s="484"/>
      <c r="AB49" s="485"/>
      <c r="AC49" s="485"/>
      <c r="AD49" s="486"/>
      <c r="AE49" s="496"/>
      <c r="AF49" s="497"/>
      <c r="AG49" s="497"/>
      <c r="AH49" s="497"/>
      <c r="AI49" s="497"/>
      <c r="AJ49" s="497"/>
      <c r="AK49" s="497"/>
      <c r="AL49" s="497"/>
      <c r="AM49" s="498"/>
      <c r="AU49" s="57"/>
      <c r="AV49" s="57"/>
      <c r="AW49" s="327"/>
      <c r="AX49" s="327"/>
      <c r="AY49" s="327"/>
    </row>
    <row r="50" spans="1:51" ht="25.5" customHeight="1" x14ac:dyDescent="0.2">
      <c r="A50" s="253" t="s">
        <v>23</v>
      </c>
      <c r="B50" s="454" t="s">
        <v>106</v>
      </c>
      <c r="C50" s="455"/>
      <c r="D50" s="456" t="s">
        <v>74</v>
      </c>
      <c r="E50" s="457"/>
      <c r="F50" s="499" t="str">
        <f>MEMORIA!B25</f>
        <v>PLACA ESMALTADA PARA IDENTIFICAÇÃO NR DE RUA, DIMENSÕES 45X25CM</v>
      </c>
      <c r="G50" s="459"/>
      <c r="H50" s="459"/>
      <c r="I50" s="459"/>
      <c r="J50" s="459"/>
      <c r="K50" s="459"/>
      <c r="L50" s="459"/>
      <c r="M50" s="459"/>
      <c r="N50" s="459"/>
      <c r="O50" s="459"/>
      <c r="P50" s="459"/>
      <c r="Q50" s="459"/>
      <c r="R50" s="460"/>
      <c r="S50" s="461" t="s">
        <v>82</v>
      </c>
      <c r="T50" s="462"/>
      <c r="U50" s="463">
        <f>MEMORIA!C25</f>
        <v>9</v>
      </c>
      <c r="V50" s="464"/>
      <c r="W50" s="465"/>
      <c r="X50" s="494">
        <v>81.11</v>
      </c>
      <c r="Y50" s="495"/>
      <c r="Z50" s="495"/>
      <c r="AA50" s="469">
        <f>ROUND(X50*U50,2)</f>
        <v>729.99</v>
      </c>
      <c r="AB50" s="470"/>
      <c r="AC50" s="470"/>
      <c r="AD50" s="471"/>
      <c r="AE50" s="447">
        <f>ROUND(X50*(1+AI$18),2)</f>
        <v>102.45</v>
      </c>
      <c r="AF50" s="437"/>
      <c r="AG50" s="437"/>
      <c r="AH50" s="437">
        <f>AE50*U50</f>
        <v>922.05000000000007</v>
      </c>
      <c r="AI50" s="437"/>
      <c r="AJ50" s="437"/>
      <c r="AK50" s="437"/>
      <c r="AL50" s="437"/>
      <c r="AM50" s="438"/>
      <c r="AP50" s="97"/>
      <c r="AU50" s="57"/>
      <c r="AV50" s="57"/>
      <c r="AW50" s="328"/>
      <c r="AX50" s="328"/>
      <c r="AY50" s="328"/>
    </row>
    <row r="51" spans="1:51" ht="60" customHeight="1" x14ac:dyDescent="0.2">
      <c r="A51" s="253" t="s">
        <v>32</v>
      </c>
      <c r="B51" s="454">
        <v>72947</v>
      </c>
      <c r="C51" s="455"/>
      <c r="D51" s="456" t="s">
        <v>74</v>
      </c>
      <c r="E51" s="457"/>
      <c r="F51" s="499" t="str">
        <f>MEMORIA!B26</f>
        <v>SINALIZACAO HORIZONTAL COM TINTA RETRORREFLETIVA A BASE DE RESINA ACRILICA COM MICROESFERAS DE VIDRO (FAIXA DE PARE, RETENÇÃO E DVISÃO DA PISTA)</v>
      </c>
      <c r="G51" s="459"/>
      <c r="H51" s="459"/>
      <c r="I51" s="459"/>
      <c r="J51" s="459"/>
      <c r="K51" s="459"/>
      <c r="L51" s="459"/>
      <c r="M51" s="459"/>
      <c r="N51" s="459"/>
      <c r="O51" s="459"/>
      <c r="P51" s="459"/>
      <c r="Q51" s="459"/>
      <c r="R51" s="460"/>
      <c r="S51" s="461" t="s">
        <v>30</v>
      </c>
      <c r="T51" s="462"/>
      <c r="U51" s="531">
        <f>MEMORIA!F26</f>
        <v>155.34</v>
      </c>
      <c r="V51" s="532"/>
      <c r="W51" s="533"/>
      <c r="X51" s="494">
        <v>21.41</v>
      </c>
      <c r="Y51" s="495"/>
      <c r="Z51" s="495"/>
      <c r="AA51" s="469">
        <f>ROUND(X51*U51,2)</f>
        <v>3325.83</v>
      </c>
      <c r="AB51" s="470"/>
      <c r="AC51" s="470"/>
      <c r="AD51" s="471"/>
      <c r="AE51" s="447">
        <f>ROUND(X51*(1+AI$18),2)</f>
        <v>27.04</v>
      </c>
      <c r="AF51" s="437"/>
      <c r="AG51" s="437"/>
      <c r="AH51" s="437">
        <f>AE51*U51</f>
        <v>4200.3936000000003</v>
      </c>
      <c r="AI51" s="437"/>
      <c r="AJ51" s="437"/>
      <c r="AK51" s="437"/>
      <c r="AL51" s="437"/>
      <c r="AM51" s="438"/>
      <c r="AP51" s="90"/>
      <c r="AU51" s="57"/>
      <c r="AV51" s="57"/>
      <c r="AW51" s="328"/>
      <c r="AX51" s="328"/>
      <c r="AY51" s="328"/>
    </row>
    <row r="52" spans="1:51" ht="75" customHeight="1" x14ac:dyDescent="0.2">
      <c r="A52" s="253" t="s">
        <v>31</v>
      </c>
      <c r="B52" s="517">
        <v>96382</v>
      </c>
      <c r="C52" s="473"/>
      <c r="D52" s="525" t="s">
        <v>211</v>
      </c>
      <c r="E52" s="526"/>
      <c r="F52" s="499" t="str">
        <f>MEMORIA!B27</f>
        <v>FORNECIMENTO E INSTALAÇÃO DE PLACA DE SINALIZAÇÃO VIÁRIA(DIÂMETRO=50CM) COM SUPORTE DE AÇO GALVANIZADO (TUBO DE 50 MM DE DIÂMETRO E COMPRIMENTO TOTAL IGUAL A 3 METROS). INCLUI BASE DE CONCRETO</v>
      </c>
      <c r="G52" s="459"/>
      <c r="H52" s="459"/>
      <c r="I52" s="459"/>
      <c r="J52" s="459"/>
      <c r="K52" s="459"/>
      <c r="L52" s="459"/>
      <c r="M52" s="459"/>
      <c r="N52" s="459"/>
      <c r="O52" s="459"/>
      <c r="P52" s="459"/>
      <c r="Q52" s="459"/>
      <c r="R52" s="460"/>
      <c r="S52" s="461" t="s">
        <v>82</v>
      </c>
      <c r="T52" s="462"/>
      <c r="U52" s="537">
        <f>MEMORIA!C27</f>
        <v>15</v>
      </c>
      <c r="V52" s="538"/>
      <c r="W52" s="539"/>
      <c r="X52" s="494">
        <v>235.82</v>
      </c>
      <c r="Y52" s="495"/>
      <c r="Z52" s="495"/>
      <c r="AA52" s="469">
        <f>ROUND(X52*U52,2)</f>
        <v>3537.3</v>
      </c>
      <c r="AB52" s="470"/>
      <c r="AC52" s="470"/>
      <c r="AD52" s="471"/>
      <c r="AE52" s="447">
        <f>ROUND(X52*(1+AI$18),2)</f>
        <v>297.86</v>
      </c>
      <c r="AF52" s="437"/>
      <c r="AG52" s="437"/>
      <c r="AH52" s="437">
        <f>ROUND(AE52*U52,2)</f>
        <v>4467.8999999999996</v>
      </c>
      <c r="AI52" s="437"/>
      <c r="AJ52" s="437"/>
      <c r="AK52" s="437"/>
      <c r="AL52" s="437"/>
      <c r="AM52" s="438"/>
      <c r="AP52" s="90"/>
      <c r="AQ52" s="90"/>
      <c r="AR52" s="90"/>
      <c r="AU52" s="57"/>
      <c r="AV52" s="57"/>
      <c r="AW52" s="328"/>
      <c r="AX52" s="328"/>
      <c r="AY52" s="328"/>
    </row>
    <row r="53" spans="1:51" ht="15" x14ac:dyDescent="0.2">
      <c r="A53" s="252"/>
      <c r="B53" s="487"/>
      <c r="C53" s="455"/>
      <c r="D53" s="488"/>
      <c r="E53" s="457"/>
      <c r="F53" s="439" t="s">
        <v>81</v>
      </c>
      <c r="G53" s="440"/>
      <c r="H53" s="440"/>
      <c r="I53" s="440"/>
      <c r="J53" s="440"/>
      <c r="K53" s="440"/>
      <c r="L53" s="440"/>
      <c r="M53" s="440"/>
      <c r="N53" s="440"/>
      <c r="O53" s="440"/>
      <c r="P53" s="440"/>
      <c r="Q53" s="440"/>
      <c r="R53" s="441"/>
      <c r="S53" s="461"/>
      <c r="T53" s="462"/>
      <c r="U53" s="463"/>
      <c r="V53" s="464"/>
      <c r="W53" s="465"/>
      <c r="X53" s="518"/>
      <c r="Y53" s="518"/>
      <c r="Z53" s="518"/>
      <c r="AA53" s="444">
        <f>SUM(AA50:AD52)</f>
        <v>7593.12</v>
      </c>
      <c r="AB53" s="445"/>
      <c r="AC53" s="445"/>
      <c r="AD53" s="446"/>
      <c r="AE53" s="447"/>
      <c r="AF53" s="437"/>
      <c r="AG53" s="437"/>
      <c r="AH53" s="448">
        <f>SUM(AH50:AM52)</f>
        <v>9590.3436000000002</v>
      </c>
      <c r="AI53" s="449"/>
      <c r="AJ53" s="449"/>
      <c r="AK53" s="449"/>
      <c r="AL53" s="449"/>
      <c r="AM53" s="450"/>
      <c r="AU53" s="57"/>
      <c r="AV53" s="57"/>
      <c r="AW53" s="328"/>
      <c r="AX53" s="328"/>
      <c r="AY53" s="328"/>
    </row>
    <row r="54" spans="1:51" ht="15" x14ac:dyDescent="0.2">
      <c r="A54" s="253"/>
      <c r="B54" s="454"/>
      <c r="C54" s="455"/>
      <c r="D54" s="525"/>
      <c r="E54" s="526"/>
      <c r="F54" s="499"/>
      <c r="G54" s="459"/>
      <c r="H54" s="459"/>
      <c r="I54" s="459"/>
      <c r="J54" s="459"/>
      <c r="K54" s="459"/>
      <c r="L54" s="459"/>
      <c r="M54" s="459"/>
      <c r="N54" s="459"/>
      <c r="O54" s="459"/>
      <c r="P54" s="459"/>
      <c r="Q54" s="459"/>
      <c r="R54" s="460"/>
      <c r="S54" s="461"/>
      <c r="T54" s="462"/>
      <c r="U54" s="463"/>
      <c r="V54" s="464"/>
      <c r="W54" s="465"/>
      <c r="X54" s="518"/>
      <c r="Y54" s="518"/>
      <c r="Z54" s="518"/>
      <c r="AA54" s="469"/>
      <c r="AB54" s="470"/>
      <c r="AC54" s="470"/>
      <c r="AD54" s="471"/>
      <c r="AE54" s="447"/>
      <c r="AF54" s="437"/>
      <c r="AG54" s="437"/>
      <c r="AH54" s="437"/>
      <c r="AI54" s="437"/>
      <c r="AJ54" s="437"/>
      <c r="AK54" s="437"/>
      <c r="AL54" s="437"/>
      <c r="AM54" s="438"/>
      <c r="AU54" s="57"/>
      <c r="AV54" s="57"/>
      <c r="AW54" s="328"/>
      <c r="AX54" s="328"/>
      <c r="AY54" s="328"/>
    </row>
    <row r="55" spans="1:51" ht="15" x14ac:dyDescent="0.2">
      <c r="A55" s="262">
        <v>5</v>
      </c>
      <c r="B55" s="472"/>
      <c r="C55" s="473"/>
      <c r="D55" s="474"/>
      <c r="E55" s="475"/>
      <c r="F55" s="476" t="s">
        <v>102</v>
      </c>
      <c r="G55" s="477"/>
      <c r="H55" s="477"/>
      <c r="I55" s="477"/>
      <c r="J55" s="477"/>
      <c r="K55" s="477"/>
      <c r="L55" s="477"/>
      <c r="M55" s="477"/>
      <c r="N55" s="477"/>
      <c r="O55" s="477"/>
      <c r="P55" s="477"/>
      <c r="Q55" s="477"/>
      <c r="R55" s="478"/>
      <c r="S55" s="515"/>
      <c r="T55" s="516"/>
      <c r="U55" s="428"/>
      <c r="V55" s="429"/>
      <c r="W55" s="430"/>
      <c r="X55" s="544"/>
      <c r="Y55" s="545"/>
      <c r="Z55" s="546"/>
      <c r="AA55" s="484"/>
      <c r="AB55" s="485"/>
      <c r="AC55" s="485"/>
      <c r="AD55" s="486"/>
      <c r="AE55" s="496"/>
      <c r="AF55" s="497"/>
      <c r="AG55" s="497"/>
      <c r="AH55" s="497"/>
      <c r="AI55" s="497"/>
      <c r="AJ55" s="497"/>
      <c r="AK55" s="497"/>
      <c r="AL55" s="497"/>
      <c r="AM55" s="498"/>
      <c r="AP55" s="90"/>
      <c r="AU55" s="57"/>
      <c r="AV55" s="57"/>
      <c r="AW55" s="328"/>
      <c r="AX55" s="328"/>
      <c r="AY55" s="328"/>
    </row>
    <row r="56" spans="1:51" ht="56.25" customHeight="1" x14ac:dyDescent="0.2">
      <c r="A56" s="253" t="s">
        <v>27</v>
      </c>
      <c r="B56" s="454">
        <v>94990</v>
      </c>
      <c r="C56" s="530"/>
      <c r="D56" s="525" t="s">
        <v>74</v>
      </c>
      <c r="E56" s="540"/>
      <c r="F56" s="499" t="str">
        <f>MEMORIA!B29</f>
        <v>EXECUÇÃO DE PASSEIO (CALÇADA) OU PISO DE CONCRETO COM CONCRETO MOLDADO 
IN LOCO, FEITO EM OBRA, ACABAMENTO CONVENCIONAL, NÃO ARMADO. AF_07/2016</v>
      </c>
      <c r="G56" s="459"/>
      <c r="H56" s="459"/>
      <c r="I56" s="459"/>
      <c r="J56" s="459"/>
      <c r="K56" s="459"/>
      <c r="L56" s="459"/>
      <c r="M56" s="459"/>
      <c r="N56" s="459"/>
      <c r="O56" s="459"/>
      <c r="P56" s="459"/>
      <c r="Q56" s="459"/>
      <c r="R56" s="460"/>
      <c r="S56" s="461" t="s">
        <v>29</v>
      </c>
      <c r="T56" s="462"/>
      <c r="U56" s="541">
        <f>MEMORIA!F34</f>
        <v>133.32</v>
      </c>
      <c r="V56" s="542"/>
      <c r="W56" s="543"/>
      <c r="X56" s="494">
        <v>437.02</v>
      </c>
      <c r="Y56" s="495"/>
      <c r="Z56" s="501"/>
      <c r="AA56" s="469">
        <f>ROUND(X56*U56,2)</f>
        <v>58263.51</v>
      </c>
      <c r="AB56" s="470"/>
      <c r="AC56" s="470"/>
      <c r="AD56" s="471"/>
      <c r="AE56" s="534">
        <f>ROUND(X56*(1+AI$18),2)</f>
        <v>552</v>
      </c>
      <c r="AF56" s="535"/>
      <c r="AG56" s="535"/>
      <c r="AH56" s="535">
        <f>ROUND(AE56*U56,2)</f>
        <v>73592.639999999999</v>
      </c>
      <c r="AI56" s="535"/>
      <c r="AJ56" s="535"/>
      <c r="AK56" s="535"/>
      <c r="AL56" s="535"/>
      <c r="AM56" s="536"/>
      <c r="AP56" s="105"/>
      <c r="AU56" s="57"/>
      <c r="AV56" s="57"/>
      <c r="AW56" s="328"/>
      <c r="AX56" s="328"/>
      <c r="AY56" s="328"/>
    </row>
    <row r="57" spans="1:51" ht="49.5" customHeight="1" x14ac:dyDescent="0.2">
      <c r="A57" s="253" t="s">
        <v>93</v>
      </c>
      <c r="B57" s="454" t="s">
        <v>165</v>
      </c>
      <c r="C57" s="455"/>
      <c r="D57" s="525" t="s">
        <v>228</v>
      </c>
      <c r="E57" s="526"/>
      <c r="F57" s="499" t="str">
        <f>MEMORIA!B30</f>
        <v>RAMPA PARA ACESSO DE DEFICIENTE, EM CONCRETO SIMPLES FCK = 15 MPA, DESEMPENADA, COM PINTURA INDICATIVA, 03 DEMÃOS</v>
      </c>
      <c r="G57" s="459"/>
      <c r="H57" s="459"/>
      <c r="I57" s="459"/>
      <c r="J57" s="459"/>
      <c r="K57" s="459"/>
      <c r="L57" s="459"/>
      <c r="M57" s="459"/>
      <c r="N57" s="459"/>
      <c r="O57" s="459"/>
      <c r="P57" s="459"/>
      <c r="Q57" s="459"/>
      <c r="R57" s="460"/>
      <c r="S57" s="461" t="s">
        <v>82</v>
      </c>
      <c r="T57" s="462"/>
      <c r="U57" s="463">
        <f>MEMORIA!C30</f>
        <v>54</v>
      </c>
      <c r="V57" s="464"/>
      <c r="W57" s="465"/>
      <c r="X57" s="527">
        <v>252.13</v>
      </c>
      <c r="Y57" s="528"/>
      <c r="Z57" s="529"/>
      <c r="AA57" s="469">
        <f>ROUND(X57*U57,2)</f>
        <v>13615.02</v>
      </c>
      <c r="AB57" s="470"/>
      <c r="AC57" s="470"/>
      <c r="AD57" s="471"/>
      <c r="AE57" s="447">
        <f>ROUND(X57*(1+AI$18),2)</f>
        <v>318.47000000000003</v>
      </c>
      <c r="AF57" s="437"/>
      <c r="AG57" s="437"/>
      <c r="AH57" s="437">
        <f>ROUND(AE57*U57,2)</f>
        <v>17197.38</v>
      </c>
      <c r="AI57" s="437"/>
      <c r="AJ57" s="437"/>
      <c r="AK57" s="437"/>
      <c r="AL57" s="437"/>
      <c r="AM57" s="438"/>
      <c r="AP57" s="90"/>
      <c r="AR57" s="90"/>
      <c r="AU57" s="57"/>
      <c r="AV57" s="57"/>
      <c r="AW57" s="328"/>
      <c r="AX57" s="328"/>
      <c r="AY57" s="328"/>
    </row>
    <row r="58" spans="1:51" x14ac:dyDescent="0.2">
      <c r="A58" s="252"/>
      <c r="B58" s="487"/>
      <c r="C58" s="455"/>
      <c r="D58" s="488"/>
      <c r="E58" s="457"/>
      <c r="F58" s="439" t="s">
        <v>101</v>
      </c>
      <c r="G58" s="440"/>
      <c r="H58" s="440"/>
      <c r="I58" s="440"/>
      <c r="J58" s="440"/>
      <c r="K58" s="440"/>
      <c r="L58" s="440"/>
      <c r="M58" s="440"/>
      <c r="N58" s="440"/>
      <c r="O58" s="440"/>
      <c r="P58" s="440"/>
      <c r="Q58" s="440"/>
      <c r="R58" s="441"/>
      <c r="S58" s="492"/>
      <c r="T58" s="493"/>
      <c r="U58" s="463"/>
      <c r="V58" s="464"/>
      <c r="W58" s="465"/>
      <c r="X58" s="518"/>
      <c r="Y58" s="518"/>
      <c r="Z58" s="518"/>
      <c r="AA58" s="444">
        <f>SUM(AA56:AD57)</f>
        <v>71878.53</v>
      </c>
      <c r="AB58" s="445"/>
      <c r="AC58" s="445"/>
      <c r="AD58" s="446"/>
      <c r="AE58" s="447"/>
      <c r="AF58" s="437"/>
      <c r="AG58" s="437"/>
      <c r="AH58" s="448">
        <f>SUM(AH56:AM57)</f>
        <v>90790.02</v>
      </c>
      <c r="AI58" s="449"/>
      <c r="AJ58" s="449"/>
      <c r="AK58" s="449"/>
      <c r="AL58" s="449"/>
      <c r="AM58" s="450"/>
      <c r="AU58" s="57"/>
      <c r="AV58" s="57"/>
      <c r="AW58" s="53"/>
      <c r="AX58" s="53"/>
      <c r="AY58" s="53"/>
    </row>
    <row r="59" spans="1:51" ht="17.25" customHeight="1" x14ac:dyDescent="0.2">
      <c r="A59" s="289"/>
      <c r="B59" s="290"/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1" t="s">
        <v>83</v>
      </c>
      <c r="X59" s="524" t="s">
        <v>84</v>
      </c>
      <c r="Y59" s="520"/>
      <c r="Z59" s="520"/>
      <c r="AA59" s="520">
        <f>AA58+AA47+AA42+AA53+AA32</f>
        <v>395593.36</v>
      </c>
      <c r="AB59" s="520"/>
      <c r="AC59" s="520"/>
      <c r="AD59" s="521"/>
      <c r="AE59" s="522" t="s">
        <v>85</v>
      </c>
      <c r="AF59" s="520"/>
      <c r="AG59" s="520"/>
      <c r="AH59" s="520">
        <f>AH58+AH47+AH42+AH32+AH53</f>
        <v>499649.41359999997</v>
      </c>
      <c r="AI59" s="520"/>
      <c r="AJ59" s="520"/>
      <c r="AK59" s="520"/>
      <c r="AL59" s="520"/>
      <c r="AM59" s="523"/>
      <c r="AU59" s="57"/>
      <c r="AV59" s="57"/>
      <c r="AW59" s="57"/>
      <c r="AX59" s="57"/>
      <c r="AY59" s="57"/>
    </row>
    <row r="60" spans="1:51" ht="12" customHeight="1" x14ac:dyDescent="0.2">
      <c r="A60" s="255"/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56"/>
      <c r="AP60" s="97"/>
    </row>
    <row r="61" spans="1:51" ht="15" customHeight="1" x14ac:dyDescent="0.2">
      <c r="A61" s="257"/>
      <c r="B61" s="228"/>
      <c r="C61" s="228"/>
      <c r="D61" s="228"/>
      <c r="E61" s="519" t="s">
        <v>86</v>
      </c>
      <c r="F61" s="519"/>
      <c r="G61" s="519"/>
      <c r="H61" s="519"/>
      <c r="I61" s="519"/>
      <c r="J61" s="519"/>
      <c r="K61" s="519"/>
      <c r="L61" s="519"/>
      <c r="M61" s="519"/>
      <c r="N61" s="519"/>
      <c r="O61" s="519"/>
      <c r="P61" s="519"/>
      <c r="Q61" s="519"/>
      <c r="R61" s="519"/>
      <c r="S61" s="519"/>
      <c r="T61" s="519"/>
      <c r="U61" s="519"/>
      <c r="V61" s="519"/>
      <c r="W61" s="519"/>
      <c r="X61" s="519"/>
      <c r="Y61" s="519"/>
      <c r="Z61" s="519"/>
      <c r="AA61" s="519"/>
      <c r="AB61" s="519"/>
      <c r="AC61" s="519"/>
      <c r="AD61" s="519"/>
      <c r="AE61" s="519"/>
      <c r="AF61" s="519"/>
      <c r="AG61" s="519"/>
      <c r="AH61" s="519"/>
      <c r="AI61" s="519"/>
      <c r="AJ61" s="519"/>
      <c r="AK61" s="519"/>
      <c r="AL61" s="519"/>
      <c r="AM61" s="244"/>
      <c r="AP61" s="97"/>
      <c r="AR61" s="97"/>
    </row>
    <row r="62" spans="1:51" ht="12" customHeight="1" x14ac:dyDescent="0.2">
      <c r="A62" s="257"/>
      <c r="B62" s="228"/>
      <c r="C62" s="228"/>
      <c r="D62" s="228"/>
      <c r="E62" s="519"/>
      <c r="F62" s="519"/>
      <c r="G62" s="519"/>
      <c r="H62" s="519"/>
      <c r="I62" s="519"/>
      <c r="J62" s="519"/>
      <c r="K62" s="519"/>
      <c r="L62" s="519"/>
      <c r="M62" s="519"/>
      <c r="N62" s="519"/>
      <c r="O62" s="519"/>
      <c r="P62" s="519"/>
      <c r="Q62" s="519"/>
      <c r="R62" s="519"/>
      <c r="S62" s="519"/>
      <c r="T62" s="519"/>
      <c r="U62" s="519"/>
      <c r="V62" s="519"/>
      <c r="W62" s="519"/>
      <c r="X62" s="519"/>
      <c r="Y62" s="519"/>
      <c r="Z62" s="519"/>
      <c r="AA62" s="519"/>
      <c r="AB62" s="519"/>
      <c r="AC62" s="519"/>
      <c r="AD62" s="519"/>
      <c r="AE62" s="519"/>
      <c r="AF62" s="519"/>
      <c r="AG62" s="519"/>
      <c r="AH62" s="519"/>
      <c r="AI62" s="519"/>
      <c r="AJ62" s="519"/>
      <c r="AK62" s="519"/>
      <c r="AL62" s="519"/>
      <c r="AM62" s="244"/>
      <c r="AR62" s="97"/>
    </row>
    <row r="63" spans="1:51" ht="12" customHeight="1" x14ac:dyDescent="0.2">
      <c r="A63" s="257"/>
      <c r="B63" s="228"/>
      <c r="C63" s="228"/>
      <c r="D63" s="228"/>
      <c r="E63" s="519"/>
      <c r="F63" s="519"/>
      <c r="G63" s="519"/>
      <c r="H63" s="519"/>
      <c r="I63" s="519"/>
      <c r="J63" s="519"/>
      <c r="K63" s="519"/>
      <c r="L63" s="519"/>
      <c r="M63" s="519"/>
      <c r="N63" s="519"/>
      <c r="O63" s="519"/>
      <c r="P63" s="519"/>
      <c r="Q63" s="519"/>
      <c r="R63" s="519"/>
      <c r="S63" s="519"/>
      <c r="T63" s="519"/>
      <c r="U63" s="519"/>
      <c r="V63" s="519"/>
      <c r="W63" s="519"/>
      <c r="X63" s="519"/>
      <c r="Y63" s="519"/>
      <c r="Z63" s="519"/>
      <c r="AA63" s="519"/>
      <c r="AB63" s="519"/>
      <c r="AC63" s="519"/>
      <c r="AD63" s="519"/>
      <c r="AE63" s="519"/>
      <c r="AF63" s="519"/>
      <c r="AG63" s="519"/>
      <c r="AH63" s="519"/>
      <c r="AI63" s="519"/>
      <c r="AJ63" s="519"/>
      <c r="AK63" s="519"/>
      <c r="AL63" s="519"/>
      <c r="AM63" s="244"/>
      <c r="AR63" s="97"/>
    </row>
    <row r="64" spans="1:51" s="57" customFormat="1" ht="12.75" x14ac:dyDescent="0.2">
      <c r="A64" s="257"/>
      <c r="B64" s="228"/>
      <c r="C64" s="228"/>
      <c r="D64" s="228"/>
      <c r="E64" s="519"/>
      <c r="F64" s="519"/>
      <c r="G64" s="519"/>
      <c r="H64" s="519"/>
      <c r="I64" s="519"/>
      <c r="J64" s="519"/>
      <c r="K64" s="519"/>
      <c r="L64" s="519"/>
      <c r="M64" s="519"/>
      <c r="N64" s="519"/>
      <c r="O64" s="519"/>
      <c r="P64" s="519"/>
      <c r="Q64" s="519"/>
      <c r="R64" s="519"/>
      <c r="S64" s="519"/>
      <c r="T64" s="519"/>
      <c r="U64" s="519"/>
      <c r="V64" s="519"/>
      <c r="W64" s="519"/>
      <c r="X64" s="519"/>
      <c r="Y64" s="519"/>
      <c r="Z64" s="519"/>
      <c r="AA64" s="519"/>
      <c r="AB64" s="519"/>
      <c r="AC64" s="519"/>
      <c r="AD64" s="519"/>
      <c r="AE64" s="519"/>
      <c r="AF64" s="519"/>
      <c r="AG64" s="519"/>
      <c r="AH64" s="519"/>
      <c r="AI64" s="519"/>
      <c r="AJ64" s="519"/>
      <c r="AK64" s="519"/>
      <c r="AL64" s="519"/>
      <c r="AM64" s="244"/>
      <c r="AP64" s="98"/>
      <c r="AT64" s="58"/>
    </row>
    <row r="65" spans="1:46" s="91" customFormat="1" ht="12" customHeight="1" x14ac:dyDescent="0.2">
      <c r="A65" s="257"/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  <c r="AM65" s="244"/>
      <c r="AT65" s="92"/>
    </row>
    <row r="66" spans="1:46" ht="12" customHeight="1" x14ac:dyDescent="0.2">
      <c r="A66" s="257"/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44"/>
    </row>
    <row r="67" spans="1:46" ht="12" customHeight="1" x14ac:dyDescent="0.2">
      <c r="A67" s="257"/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44"/>
      <c r="AP67" s="150"/>
    </row>
    <row r="68" spans="1:46" ht="12.75" x14ac:dyDescent="0.2">
      <c r="A68" s="257"/>
      <c r="B68" s="228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50"/>
      <c r="Y68" s="50"/>
      <c r="Z68" s="50"/>
      <c r="AA68" s="50"/>
      <c r="AB68" s="50"/>
      <c r="AC68" s="50"/>
      <c r="AD68" s="50"/>
      <c r="AE68" s="228"/>
      <c r="AF68" s="228"/>
      <c r="AG68" s="228"/>
      <c r="AH68" s="228"/>
      <c r="AI68" s="228"/>
      <c r="AJ68" s="228"/>
      <c r="AK68" s="228"/>
      <c r="AL68" s="228"/>
      <c r="AM68" s="244"/>
      <c r="AP68" s="149"/>
    </row>
    <row r="69" spans="1:46" ht="6" customHeight="1" x14ac:dyDescent="0.2">
      <c r="A69" s="257"/>
      <c r="B69" s="228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  <c r="AM69" s="244"/>
      <c r="AP69" s="150"/>
    </row>
    <row r="70" spans="1:46" ht="12" customHeight="1" x14ac:dyDescent="0.2">
      <c r="A70" s="257"/>
      <c r="B70" s="228"/>
      <c r="C70" s="228"/>
      <c r="D70" s="228"/>
      <c r="E70" s="230" t="s">
        <v>128</v>
      </c>
      <c r="F70" s="229"/>
      <c r="G70" s="229"/>
      <c r="H70" s="229"/>
      <c r="I70" s="229"/>
      <c r="J70" s="229"/>
      <c r="K70" s="229"/>
      <c r="L70" s="229"/>
      <c r="M70" s="229"/>
      <c r="N70" s="221"/>
      <c r="O70" s="229"/>
      <c r="P70" s="229"/>
      <c r="Q70" s="229"/>
      <c r="R70" s="229"/>
      <c r="S70" s="229"/>
      <c r="T70" s="229"/>
      <c r="U70" s="229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44"/>
      <c r="AP70" s="149"/>
    </row>
    <row r="71" spans="1:46" ht="6" customHeight="1" x14ac:dyDescent="0.2">
      <c r="A71" s="257"/>
      <c r="B71" s="228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8"/>
      <c r="AK71" s="228"/>
      <c r="AL71" s="228"/>
      <c r="AM71" s="244"/>
      <c r="AP71" s="150"/>
    </row>
    <row r="72" spans="1:46" ht="12" customHeight="1" thickBot="1" x14ac:dyDescent="0.25">
      <c r="A72" s="258"/>
      <c r="B72" s="259"/>
      <c r="C72" s="259"/>
      <c r="D72" s="259"/>
      <c r="E72" s="260" t="s">
        <v>138</v>
      </c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  <c r="AL72" s="259"/>
      <c r="AM72" s="261"/>
      <c r="AP72" s="149"/>
    </row>
    <row r="73" spans="1:46" ht="6" customHeight="1" x14ac:dyDescent="0.2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P73" s="150"/>
    </row>
    <row r="74" spans="1:46" ht="12" customHeight="1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</row>
    <row r="75" spans="1:46" ht="12" customHeight="1" x14ac:dyDescent="0.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</row>
    <row r="76" spans="1:46" ht="12" customHeight="1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</row>
    <row r="77" spans="1:46" ht="12" customHeight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</row>
    <row r="78" spans="1:46" ht="12" customHeight="1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</row>
    <row r="79" spans="1:46" ht="12" customHeigh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</row>
    <row r="80" spans="1:46" ht="12" customHeigh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</row>
    <row r="81" spans="1:39" ht="12" customHeigh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</row>
    <row r="82" spans="1:39" ht="12" customHeigh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</row>
    <row r="83" spans="1:39" ht="12" customHeigh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</row>
    <row r="84" spans="1:39" ht="12" customHeight="1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</row>
    <row r="85" spans="1:39" ht="12" customHeight="1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</row>
    <row r="86" spans="1:39" ht="12" customHeight="1" x14ac:dyDescent="0.2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</row>
    <row r="87" spans="1:39" ht="12" customHeight="1" x14ac:dyDescent="0.2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</row>
    <row r="88" spans="1:39" ht="12" customHeight="1" x14ac:dyDescent="0.2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</row>
    <row r="89" spans="1:39" ht="12" customHeight="1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</row>
    <row r="90" spans="1:39" ht="12" customHeight="1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</row>
    <row r="91" spans="1:39" ht="12" customHeight="1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</row>
    <row r="92" spans="1:39" ht="12" customHeight="1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</row>
    <row r="93" spans="1:39" ht="12" customHeight="1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</row>
    <row r="94" spans="1:39" ht="12" customHeight="1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</row>
    <row r="95" spans="1:39" ht="12" customHeight="1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</row>
    <row r="96" spans="1:39" ht="12" customHeight="1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</row>
    <row r="97" spans="1:39" ht="12" customHeight="1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 spans="1:39" ht="12" customHeight="1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 spans="1:39" ht="12" customHeight="1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 spans="1:39" ht="12" customHeight="1" x14ac:dyDescent="0.2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 spans="1:39" ht="12" customHeight="1" x14ac:dyDescent="0.2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 spans="1:39" ht="12" customHeight="1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 spans="1:39" ht="12" customHeight="1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 spans="1:39" ht="12" customHeight="1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</row>
    <row r="105" spans="1:39" ht="12" customHeight="1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 spans="1:39" ht="12" customHeight="1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</row>
    <row r="107" spans="1:39" ht="12" customHeight="1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</row>
    <row r="108" spans="1:39" ht="12" customHeight="1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</row>
    <row r="109" spans="1:39" ht="12" customHeight="1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</row>
    <row r="110" spans="1:39" ht="12" customHeight="1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</row>
    <row r="111" spans="1:39" ht="12" customHeight="1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</row>
    <row r="112" spans="1:39" ht="12" customHeight="1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</row>
    <row r="113" spans="1:39" ht="12" customHeight="1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</row>
    <row r="114" spans="1:39" ht="12" customHeight="1" x14ac:dyDescent="0.2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</row>
  </sheetData>
  <mergeCells count="336">
    <mergeCell ref="AW56:AY56"/>
    <mergeCell ref="AW57:AY57"/>
    <mergeCell ref="D56:E56"/>
    <mergeCell ref="F56:R56"/>
    <mergeCell ref="S56:T56"/>
    <mergeCell ref="U56:W56"/>
    <mergeCell ref="X56:Z56"/>
    <mergeCell ref="X55:Z55"/>
    <mergeCell ref="X54:Z54"/>
    <mergeCell ref="AA54:AD54"/>
    <mergeCell ref="AA57:AD57"/>
    <mergeCell ref="AE57:AG57"/>
    <mergeCell ref="AH57:AM57"/>
    <mergeCell ref="AA55:AD55"/>
    <mergeCell ref="AE55:AG55"/>
    <mergeCell ref="B52:C52"/>
    <mergeCell ref="D52:E52"/>
    <mergeCell ref="AH55:AM55"/>
    <mergeCell ref="AA56:AD56"/>
    <mergeCell ref="AE56:AG56"/>
    <mergeCell ref="AH56:AM56"/>
    <mergeCell ref="B53:C53"/>
    <mergeCell ref="B55:C55"/>
    <mergeCell ref="D55:E55"/>
    <mergeCell ref="F55:R55"/>
    <mergeCell ref="S55:T55"/>
    <mergeCell ref="U55:W55"/>
    <mergeCell ref="B54:C54"/>
    <mergeCell ref="D54:E54"/>
    <mergeCell ref="F54:R54"/>
    <mergeCell ref="S54:T54"/>
    <mergeCell ref="U54:W54"/>
    <mergeCell ref="AH54:AM54"/>
    <mergeCell ref="AE54:AG54"/>
    <mergeCell ref="F52:R52"/>
    <mergeCell ref="S52:T52"/>
    <mergeCell ref="X52:Z52"/>
    <mergeCell ref="U52:W52"/>
    <mergeCell ref="F49:R49"/>
    <mergeCell ref="S49:T49"/>
    <mergeCell ref="AH51:AM51"/>
    <mergeCell ref="B51:C51"/>
    <mergeCell ref="D51:E51"/>
    <mergeCell ref="F51:R51"/>
    <mergeCell ref="S51:T51"/>
    <mergeCell ref="X51:Z51"/>
    <mergeCell ref="U51:W51"/>
    <mergeCell ref="AE50:AG50"/>
    <mergeCell ref="AH50:AM50"/>
    <mergeCell ref="AA51:AD51"/>
    <mergeCell ref="AE51:AG51"/>
    <mergeCell ref="B50:C50"/>
    <mergeCell ref="D50:E50"/>
    <mergeCell ref="F50:R50"/>
    <mergeCell ref="S50:T50"/>
    <mergeCell ref="U50:W50"/>
    <mergeCell ref="X50:Z50"/>
    <mergeCell ref="AA50:AD50"/>
    <mergeCell ref="B57:C57"/>
    <mergeCell ref="D57:E57"/>
    <mergeCell ref="F57:R57"/>
    <mergeCell ref="S57:T57"/>
    <mergeCell ref="U57:W57"/>
    <mergeCell ref="X57:Z57"/>
    <mergeCell ref="U53:W53"/>
    <mergeCell ref="B56:C56"/>
    <mergeCell ref="D53:E53"/>
    <mergeCell ref="F53:R53"/>
    <mergeCell ref="S53:T53"/>
    <mergeCell ref="X53:Z53"/>
    <mergeCell ref="E61:AL64"/>
    <mergeCell ref="AA59:AD59"/>
    <mergeCell ref="AE59:AG59"/>
    <mergeCell ref="AH59:AM59"/>
    <mergeCell ref="X59:Z59"/>
    <mergeCell ref="AA52:AD52"/>
    <mergeCell ref="AE52:AG52"/>
    <mergeCell ref="AH52:AM52"/>
    <mergeCell ref="AE53:AG53"/>
    <mergeCell ref="AH53:AM53"/>
    <mergeCell ref="AA53:AD53"/>
    <mergeCell ref="B58:C58"/>
    <mergeCell ref="D58:E58"/>
    <mergeCell ref="F58:R58"/>
    <mergeCell ref="S58:T58"/>
    <mergeCell ref="U58:W58"/>
    <mergeCell ref="X58:Z58"/>
    <mergeCell ref="AA58:AD58"/>
    <mergeCell ref="AE58:AG58"/>
    <mergeCell ref="AH58:AM58"/>
    <mergeCell ref="AE46:AG46"/>
    <mergeCell ref="AH46:AM46"/>
    <mergeCell ref="AA47:AD47"/>
    <mergeCell ref="AE47:AG47"/>
    <mergeCell ref="AH47:AM47"/>
    <mergeCell ref="AE49:AG49"/>
    <mergeCell ref="AH49:AM49"/>
    <mergeCell ref="AA48:AD48"/>
    <mergeCell ref="AE48:AG48"/>
    <mergeCell ref="AH48:AM48"/>
    <mergeCell ref="B46:C46"/>
    <mergeCell ref="D46:E46"/>
    <mergeCell ref="F46:R46"/>
    <mergeCell ref="S46:T46"/>
    <mergeCell ref="U46:W46"/>
    <mergeCell ref="X46:Z46"/>
    <mergeCell ref="X47:Z47"/>
    <mergeCell ref="AA49:AD49"/>
    <mergeCell ref="S48:T48"/>
    <mergeCell ref="B47:C47"/>
    <mergeCell ref="D47:E47"/>
    <mergeCell ref="F47:R47"/>
    <mergeCell ref="S47:T47"/>
    <mergeCell ref="U47:W47"/>
    <mergeCell ref="U48:W48"/>
    <mergeCell ref="X48:Z48"/>
    <mergeCell ref="B48:C48"/>
    <mergeCell ref="AA46:AD46"/>
    <mergeCell ref="D48:E48"/>
    <mergeCell ref="F48:R48"/>
    <mergeCell ref="U49:W49"/>
    <mergeCell ref="X49:Z49"/>
    <mergeCell ref="B49:C49"/>
    <mergeCell ref="D49:E49"/>
    <mergeCell ref="B45:C45"/>
    <mergeCell ref="D45:E45"/>
    <mergeCell ref="F45:R45"/>
    <mergeCell ref="S45:T45"/>
    <mergeCell ref="U45:W45"/>
    <mergeCell ref="X45:Z45"/>
    <mergeCell ref="AA45:AD45"/>
    <mergeCell ref="AE45:AG45"/>
    <mergeCell ref="AH45:AM45"/>
    <mergeCell ref="B43:C43"/>
    <mergeCell ref="D43:E43"/>
    <mergeCell ref="F43:R43"/>
    <mergeCell ref="S43:T43"/>
    <mergeCell ref="U43:W43"/>
    <mergeCell ref="X43:Z43"/>
    <mergeCell ref="AE42:AG42"/>
    <mergeCell ref="AH42:AM42"/>
    <mergeCell ref="AE44:AG44"/>
    <mergeCell ref="AA43:AD43"/>
    <mergeCell ref="AE43:AG43"/>
    <mergeCell ref="AH43:AM43"/>
    <mergeCell ref="AH44:AM44"/>
    <mergeCell ref="B44:C44"/>
    <mergeCell ref="D44:E44"/>
    <mergeCell ref="F44:R44"/>
    <mergeCell ref="S44:T44"/>
    <mergeCell ref="U44:W44"/>
    <mergeCell ref="X44:Z44"/>
    <mergeCell ref="AA44:AD44"/>
    <mergeCell ref="AA41:AD41"/>
    <mergeCell ref="AE41:AG41"/>
    <mergeCell ref="AH41:AM41"/>
    <mergeCell ref="B42:C42"/>
    <mergeCell ref="D42:E42"/>
    <mergeCell ref="F42:R42"/>
    <mergeCell ref="S42:T42"/>
    <mergeCell ref="U42:W42"/>
    <mergeCell ref="X42:Z42"/>
    <mergeCell ref="AA42:AD42"/>
    <mergeCell ref="B41:C41"/>
    <mergeCell ref="D41:E41"/>
    <mergeCell ref="F41:R41"/>
    <mergeCell ref="S41:T41"/>
    <mergeCell ref="U41:W41"/>
    <mergeCell ref="X41:Z41"/>
    <mergeCell ref="AH39:AM39"/>
    <mergeCell ref="B40:C40"/>
    <mergeCell ref="D40:E40"/>
    <mergeCell ref="F40:R40"/>
    <mergeCell ref="S40:T40"/>
    <mergeCell ref="U40:W40"/>
    <mergeCell ref="X40:Z40"/>
    <mergeCell ref="AE40:AG40"/>
    <mergeCell ref="AH40:AM40"/>
    <mergeCell ref="AA40:AD40"/>
    <mergeCell ref="B39:C39"/>
    <mergeCell ref="D39:E39"/>
    <mergeCell ref="F39:R39"/>
    <mergeCell ref="S39:T39"/>
    <mergeCell ref="U39:W39"/>
    <mergeCell ref="X39:Z39"/>
    <mergeCell ref="AA39:AD39"/>
    <mergeCell ref="AE39:AG39"/>
    <mergeCell ref="AA37:AD37"/>
    <mergeCell ref="AE37:AG37"/>
    <mergeCell ref="AH37:AM37"/>
    <mergeCell ref="B38:C38"/>
    <mergeCell ref="D38:E38"/>
    <mergeCell ref="F38:R38"/>
    <mergeCell ref="S38:T38"/>
    <mergeCell ref="U38:W38"/>
    <mergeCell ref="X38:Z38"/>
    <mergeCell ref="AA38:AD38"/>
    <mergeCell ref="B37:C37"/>
    <mergeCell ref="D37:E37"/>
    <mergeCell ref="F37:R37"/>
    <mergeCell ref="S37:T37"/>
    <mergeCell ref="U37:W37"/>
    <mergeCell ref="X37:Z37"/>
    <mergeCell ref="AE38:AG38"/>
    <mergeCell ref="AH38:AM38"/>
    <mergeCell ref="B36:C36"/>
    <mergeCell ref="D36:E36"/>
    <mergeCell ref="F36:R36"/>
    <mergeCell ref="S36:T36"/>
    <mergeCell ref="U36:W36"/>
    <mergeCell ref="X36:Z36"/>
    <mergeCell ref="AA36:AD36"/>
    <mergeCell ref="AE36:AG36"/>
    <mergeCell ref="AH36:AM36"/>
    <mergeCell ref="B35:C35"/>
    <mergeCell ref="D35:E35"/>
    <mergeCell ref="F35:R35"/>
    <mergeCell ref="S35:T35"/>
    <mergeCell ref="U35:W35"/>
    <mergeCell ref="X35:Z35"/>
    <mergeCell ref="AA35:AD35"/>
    <mergeCell ref="AE35:AG35"/>
    <mergeCell ref="AH35:AM35"/>
    <mergeCell ref="AA33:AD33"/>
    <mergeCell ref="AE33:AG33"/>
    <mergeCell ref="AH33:AM33"/>
    <mergeCell ref="B34:C34"/>
    <mergeCell ref="D34:E34"/>
    <mergeCell ref="F34:R34"/>
    <mergeCell ref="S34:T34"/>
    <mergeCell ref="U34:W34"/>
    <mergeCell ref="X34:Z34"/>
    <mergeCell ref="AA34:AD34"/>
    <mergeCell ref="B33:C33"/>
    <mergeCell ref="D33:E33"/>
    <mergeCell ref="F33:R33"/>
    <mergeCell ref="S33:T33"/>
    <mergeCell ref="U33:W33"/>
    <mergeCell ref="X33:Z33"/>
    <mergeCell ref="AE34:AG34"/>
    <mergeCell ref="AH34:AM34"/>
    <mergeCell ref="B30:C30"/>
    <mergeCell ref="D30:E30"/>
    <mergeCell ref="F30:R30"/>
    <mergeCell ref="S30:T30"/>
    <mergeCell ref="U30:W30"/>
    <mergeCell ref="X30:Z30"/>
    <mergeCell ref="AA30:AD30"/>
    <mergeCell ref="AH31:AM31"/>
    <mergeCell ref="F32:R32"/>
    <mergeCell ref="X32:Z32"/>
    <mergeCell ref="AA32:AD32"/>
    <mergeCell ref="AE32:AG32"/>
    <mergeCell ref="AH32:AM32"/>
    <mergeCell ref="AE30:AG30"/>
    <mergeCell ref="AH30:AM30"/>
    <mergeCell ref="B31:C31"/>
    <mergeCell ref="D31:E31"/>
    <mergeCell ref="F31:R31"/>
    <mergeCell ref="S31:T31"/>
    <mergeCell ref="U31:W31"/>
    <mergeCell ref="X31:Z31"/>
    <mergeCell ref="AA31:AD31"/>
    <mergeCell ref="AE31:AG31"/>
    <mergeCell ref="A2:AM3"/>
    <mergeCell ref="A5:X5"/>
    <mergeCell ref="AD5:AM5"/>
    <mergeCell ref="A8:AC8"/>
    <mergeCell ref="AD8:AM8"/>
    <mergeCell ref="A11:V11"/>
    <mergeCell ref="W11:AK11"/>
    <mergeCell ref="AL11:AM11"/>
    <mergeCell ref="X20:AM25"/>
    <mergeCell ref="K21:L21"/>
    <mergeCell ref="N21:O21"/>
    <mergeCell ref="V21:W21"/>
    <mergeCell ref="K22:L22"/>
    <mergeCell ref="N22:O22"/>
    <mergeCell ref="V22:W22"/>
    <mergeCell ref="K23:L23"/>
    <mergeCell ref="N20:O20"/>
    <mergeCell ref="V20:W20"/>
    <mergeCell ref="N23:O23"/>
    <mergeCell ref="V23:W23"/>
    <mergeCell ref="K24:L24"/>
    <mergeCell ref="N24:O24"/>
    <mergeCell ref="V24:W24"/>
    <mergeCell ref="V25:W25"/>
    <mergeCell ref="AW36:AY36"/>
    <mergeCell ref="AW37:AY37"/>
    <mergeCell ref="AW38:AY38"/>
    <mergeCell ref="A14:V14"/>
    <mergeCell ref="W14:AE14"/>
    <mergeCell ref="AF14:AM14"/>
    <mergeCell ref="P18:W19"/>
    <mergeCell ref="X18:AH19"/>
    <mergeCell ref="AI18:AM19"/>
    <mergeCell ref="K20:L20"/>
    <mergeCell ref="A27:A29"/>
    <mergeCell ref="F27:R29"/>
    <mergeCell ref="S27:T29"/>
    <mergeCell ref="U27:W29"/>
    <mergeCell ref="X27:AM27"/>
    <mergeCell ref="AR27:AS27"/>
    <mergeCell ref="D28:E28"/>
    <mergeCell ref="X28:AD28"/>
    <mergeCell ref="AE28:AM28"/>
    <mergeCell ref="X29:Z29"/>
    <mergeCell ref="AA29:AD29"/>
    <mergeCell ref="AE29:AG29"/>
    <mergeCell ref="AH29:AM29"/>
    <mergeCell ref="J25:O25"/>
    <mergeCell ref="A18:O19"/>
    <mergeCell ref="AW48:AY48"/>
    <mergeCell ref="AW49:AY49"/>
    <mergeCell ref="AW50:AY50"/>
    <mergeCell ref="AW51:AY51"/>
    <mergeCell ref="AW52:AY52"/>
    <mergeCell ref="AW53:AY53"/>
    <mergeCell ref="AW54:AY54"/>
    <mergeCell ref="AW55:AY55"/>
    <mergeCell ref="AW39:AY39"/>
    <mergeCell ref="AW40:AY40"/>
    <mergeCell ref="AW41:AY41"/>
    <mergeCell ref="AW42:AY42"/>
    <mergeCell ref="AW43:AY43"/>
    <mergeCell ref="AW44:AY44"/>
    <mergeCell ref="AW45:AY45"/>
    <mergeCell ref="AW46:AY46"/>
    <mergeCell ref="AW47:AY47"/>
    <mergeCell ref="AW30:AY30"/>
    <mergeCell ref="AW31:AY31"/>
    <mergeCell ref="AW32:AY32"/>
    <mergeCell ref="AW33:AY33"/>
    <mergeCell ref="AW34:AY34"/>
    <mergeCell ref="AW35:AY3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4" fitToHeight="0" orientation="portrait" r:id="rId1"/>
  <ignoredErrors>
    <ignoredError sqref="AA32:AG34 AA47:AG49 U46:W46 AA46:AG46 AA57:AG57 AA54:AG55 V52:W52 V51:W51 V50:W50 U31:W31 AA31:AG31 U38:W38 U35:W35 AA35:AG35 U36:W36 AA36:AG36 U37:W37 AA37:AG37 AA42:AG44 U39:W39 AA39:AG39 AA50:AG50 AA38:AG38 AA51:AG51 AA52:AG52 V40:W40 AA40:AG40 U45:W45 AA45:AG45 U41:W41 AA41:AG41 U42:W44 U53:W55 U47:W49 U32:W34 AB53:AG5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="70" zoomScaleNormal="70" workbookViewId="0">
      <pane ySplit="9" topLeftCell="A10" activePane="bottomLeft" state="frozen"/>
      <selection pane="bottomLeft" activeCell="L19" sqref="L19"/>
    </sheetView>
  </sheetViews>
  <sheetFormatPr defaultRowHeight="12.75" x14ac:dyDescent="0.2"/>
  <cols>
    <col min="1" max="1" width="7.7109375" style="2" customWidth="1"/>
    <col min="2" max="2" width="73.140625" style="2" customWidth="1"/>
    <col min="3" max="3" width="9.7109375" style="2" customWidth="1"/>
    <col min="4" max="4" width="12" style="2" customWidth="1"/>
    <col min="5" max="5" width="8" style="2" customWidth="1"/>
    <col min="6" max="6" width="14.85546875" style="2" customWidth="1"/>
    <col min="7" max="8" width="9.42578125" style="2" customWidth="1"/>
    <col min="9" max="9" width="19" style="2" customWidth="1"/>
    <col min="10" max="10" width="12.7109375" style="2" customWidth="1"/>
    <col min="11" max="11" width="17" style="2" customWidth="1"/>
    <col min="12" max="12" width="12" style="2" customWidth="1"/>
    <col min="13" max="13" width="19.140625" style="2" customWidth="1"/>
    <col min="14" max="14" width="9.7109375" style="2" customWidth="1"/>
    <col min="15" max="15" width="13.140625" style="2" customWidth="1"/>
    <col min="16" max="16" width="17.7109375" style="2" customWidth="1"/>
    <col min="17" max="17" width="78.140625" style="1" customWidth="1"/>
    <col min="18" max="18" width="11.42578125" style="1" hidden="1" customWidth="1"/>
    <col min="19" max="19" width="3.7109375" style="1" hidden="1" customWidth="1"/>
    <col min="20" max="23" width="11.42578125" style="2" hidden="1" customWidth="1"/>
    <col min="24" max="16384" width="9.140625" style="2"/>
  </cols>
  <sheetData>
    <row r="1" spans="1:23" ht="15" x14ac:dyDescent="0.2">
      <c r="A1" s="547" t="s">
        <v>107</v>
      </c>
      <c r="B1" s="548"/>
      <c r="C1" s="548"/>
      <c r="D1" s="548"/>
      <c r="E1" s="548"/>
      <c r="F1" s="548"/>
      <c r="G1" s="549"/>
      <c r="H1" s="549"/>
      <c r="I1" s="549"/>
      <c r="J1" s="549"/>
      <c r="K1" s="549"/>
      <c r="L1" s="549"/>
      <c r="M1" s="549"/>
      <c r="N1" s="549"/>
      <c r="O1" s="549"/>
      <c r="P1" s="550"/>
      <c r="Q1" s="3"/>
      <c r="R1" s="3"/>
      <c r="S1" s="3"/>
    </row>
    <row r="2" spans="1:23" ht="8.1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5"/>
    </row>
    <row r="3" spans="1:23" ht="25.5" customHeight="1" x14ac:dyDescent="0.2">
      <c r="A3" s="7"/>
      <c r="B3" s="551" t="str">
        <f>'RELAÇÃO DE RUAS '!B3:E3</f>
        <v>Obra: PAVIMENTAÇÃO ASFÁLTICA</v>
      </c>
      <c r="C3" s="551"/>
      <c r="D3" s="551"/>
      <c r="E3" s="551"/>
      <c r="F3" s="6"/>
      <c r="G3" s="6"/>
      <c r="H3" s="6"/>
      <c r="I3" s="6"/>
      <c r="J3" s="6"/>
      <c r="K3" s="6"/>
      <c r="L3" s="6"/>
      <c r="M3" s="6"/>
      <c r="N3" s="6"/>
      <c r="O3" s="9" t="s">
        <v>134</v>
      </c>
      <c r="P3" s="182">
        <f ca="1">TODAY()</f>
        <v>43090</v>
      </c>
      <c r="Q3" s="10"/>
      <c r="R3" s="10"/>
      <c r="S3" s="10"/>
    </row>
    <row r="4" spans="1:23" ht="8.1" customHeight="1" x14ac:dyDescent="0.2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2"/>
      <c r="Q4" s="10"/>
      <c r="R4" s="10"/>
      <c r="S4" s="10"/>
    </row>
    <row r="5" spans="1:23" x14ac:dyDescent="0.2">
      <c r="A5" s="7"/>
      <c r="B5" s="13" t="str">
        <f>'RELAÇÃO DE RUAS '!B5</f>
        <v>Local: DIVERSAS RUAS - BAIRRO VISTA ALEGRE</v>
      </c>
      <c r="C5" s="13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10"/>
      <c r="R5" s="10"/>
      <c r="S5" s="10"/>
    </row>
    <row r="6" spans="1:23" ht="8.1" customHeight="1" thickBot="1" x14ac:dyDescent="0.25">
      <c r="A6" s="1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5"/>
    </row>
    <row r="7" spans="1:23" ht="13.5" thickBot="1" x14ac:dyDescent="0.25">
      <c r="A7" s="552" t="s">
        <v>10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  <c r="N7" s="553"/>
      <c r="O7" s="553"/>
      <c r="P7" s="554"/>
      <c r="Q7" s="16"/>
      <c r="R7" s="16"/>
      <c r="S7" s="16"/>
    </row>
    <row r="8" spans="1:23" ht="8.1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5"/>
    </row>
    <row r="9" spans="1:23" ht="38.25" x14ac:dyDescent="0.2">
      <c r="A9" s="19" t="s">
        <v>0</v>
      </c>
      <c r="B9" s="102" t="s">
        <v>11</v>
      </c>
      <c r="C9" s="102" t="s">
        <v>28</v>
      </c>
      <c r="D9" s="102" t="s">
        <v>12</v>
      </c>
      <c r="E9" s="102" t="s">
        <v>13</v>
      </c>
      <c r="F9" s="102" t="s">
        <v>14</v>
      </c>
      <c r="G9" s="102" t="s">
        <v>15</v>
      </c>
      <c r="H9" s="102" t="s">
        <v>6</v>
      </c>
      <c r="I9" s="102" t="s">
        <v>89</v>
      </c>
      <c r="J9" s="102" t="s">
        <v>16</v>
      </c>
      <c r="K9" s="102" t="s">
        <v>17</v>
      </c>
      <c r="L9" s="102" t="s">
        <v>18</v>
      </c>
      <c r="M9" s="102" t="s">
        <v>25</v>
      </c>
      <c r="N9" s="153" t="s">
        <v>19</v>
      </c>
      <c r="O9" s="103" t="s">
        <v>21</v>
      </c>
      <c r="P9" s="103" t="s">
        <v>20</v>
      </c>
      <c r="Q9" s="21"/>
      <c r="R9" s="21"/>
      <c r="S9" s="21"/>
    </row>
    <row r="10" spans="1:23" x14ac:dyDescent="0.2">
      <c r="A10" s="277">
        <v>1</v>
      </c>
      <c r="B10" s="286" t="s">
        <v>95</v>
      </c>
      <c r="C10" s="278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279"/>
      <c r="P10" s="280"/>
      <c r="Q10" s="21"/>
      <c r="R10" s="21"/>
      <c r="S10" s="21"/>
    </row>
    <row r="11" spans="1:23" x14ac:dyDescent="0.2">
      <c r="A11" s="99" t="s">
        <v>2</v>
      </c>
      <c r="B11" s="106" t="s">
        <v>105</v>
      </c>
      <c r="C11" s="107">
        <v>1</v>
      </c>
      <c r="D11" s="108">
        <v>2</v>
      </c>
      <c r="E11" s="108">
        <v>1.25</v>
      </c>
      <c r="F11" s="227">
        <f>ROUND(D11*E11,2)</f>
        <v>2.5</v>
      </c>
      <c r="G11" s="109"/>
      <c r="H11" s="109"/>
      <c r="I11" s="109"/>
      <c r="J11" s="109"/>
      <c r="K11" s="109"/>
      <c r="L11" s="109"/>
      <c r="M11" s="109"/>
      <c r="N11" s="109"/>
      <c r="O11" s="110"/>
      <c r="P11" s="111"/>
      <c r="Q11" s="21"/>
      <c r="R11" s="21"/>
      <c r="S11" s="21"/>
    </row>
    <row r="12" spans="1:23" ht="12.75" customHeight="1" x14ac:dyDescent="0.2">
      <c r="A12" s="115"/>
      <c r="B12" s="112"/>
      <c r="C12" s="109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20"/>
      <c r="P12" s="24"/>
      <c r="Q12" s="23"/>
      <c r="R12" s="23"/>
      <c r="S12" s="23"/>
    </row>
    <row r="13" spans="1:23" ht="16.5" customHeight="1" x14ac:dyDescent="0.2">
      <c r="A13" s="152">
        <v>2</v>
      </c>
      <c r="B13" s="270" t="s">
        <v>91</v>
      </c>
      <c r="C13" s="276"/>
      <c r="D13" s="276"/>
      <c r="E13" s="276"/>
      <c r="F13" s="268"/>
      <c r="G13" s="268"/>
      <c r="H13" s="268"/>
      <c r="I13" s="268"/>
      <c r="J13" s="268"/>
      <c r="K13" s="268"/>
      <c r="L13" s="268"/>
      <c r="M13" s="268"/>
      <c r="N13" s="268"/>
      <c r="O13" s="272"/>
      <c r="P13" s="272"/>
      <c r="Q13" s="23"/>
      <c r="R13" s="23"/>
      <c r="S13" s="23"/>
    </row>
    <row r="14" spans="1:23" ht="36.75" customHeight="1" x14ac:dyDescent="0.2">
      <c r="A14" s="116" t="s">
        <v>3</v>
      </c>
      <c r="B14" s="225" t="s">
        <v>87</v>
      </c>
      <c r="C14" s="109"/>
      <c r="D14" s="42"/>
      <c r="E14" s="42"/>
      <c r="F14" s="27">
        <f>'RELAÇÃO DE RUAS '!F27</f>
        <v>8219.7050000000017</v>
      </c>
      <c r="G14" s="121"/>
      <c r="H14" s="121"/>
      <c r="I14" s="42"/>
      <c r="J14" s="42"/>
      <c r="K14" s="42"/>
      <c r="L14" s="42"/>
      <c r="M14" s="42"/>
      <c r="N14" s="42"/>
      <c r="O14" s="42"/>
      <c r="P14" s="122"/>
      <c r="Q14" s="23"/>
      <c r="R14" s="23">
        <v>1.42</v>
      </c>
      <c r="S14" s="23"/>
      <c r="T14" s="28"/>
    </row>
    <row r="15" spans="1:23" ht="37.5" customHeight="1" x14ac:dyDescent="0.2">
      <c r="A15" s="116" t="s">
        <v>22</v>
      </c>
      <c r="B15" s="225" t="s">
        <v>88</v>
      </c>
      <c r="C15" s="113"/>
      <c r="D15" s="123"/>
      <c r="E15" s="42"/>
      <c r="F15" s="42">
        <f>F14</f>
        <v>8219.7050000000017</v>
      </c>
      <c r="G15" s="42">
        <v>0.15</v>
      </c>
      <c r="H15" s="42"/>
      <c r="I15" s="42"/>
      <c r="J15" s="27">
        <f>ROUND(F15*G15,2)</f>
        <v>1232.96</v>
      </c>
      <c r="K15" s="42"/>
      <c r="L15" s="42"/>
      <c r="M15" s="42"/>
      <c r="N15" s="42"/>
      <c r="O15" s="42"/>
      <c r="P15" s="24"/>
      <c r="Q15" s="23"/>
      <c r="R15" s="23"/>
      <c r="S15" s="23"/>
    </row>
    <row r="16" spans="1:23" ht="45.75" customHeight="1" x14ac:dyDescent="0.2">
      <c r="A16" s="116" t="s">
        <v>33</v>
      </c>
      <c r="B16" s="225" t="s">
        <v>207</v>
      </c>
      <c r="C16" s="113"/>
      <c r="D16" s="123"/>
      <c r="E16" s="42"/>
      <c r="F16" s="42"/>
      <c r="G16" s="121"/>
      <c r="H16" s="121"/>
      <c r="I16" s="121"/>
      <c r="J16" s="27">
        <f>J15</f>
        <v>1232.96</v>
      </c>
      <c r="K16" s="42"/>
      <c r="L16" s="46"/>
      <c r="M16" s="46"/>
      <c r="N16" s="268">
        <v>2.77</v>
      </c>
      <c r="O16" s="27">
        <f>ROUND(J16*N16,2)</f>
        <v>3415.3</v>
      </c>
      <c r="P16" s="24"/>
      <c r="Q16" s="288" t="s">
        <v>214</v>
      </c>
      <c r="R16" s="31"/>
      <c r="S16" s="31"/>
      <c r="T16" s="32"/>
      <c r="U16" s="33"/>
      <c r="V16" s="34"/>
      <c r="W16" s="34"/>
    </row>
    <row r="17" spans="1:23" ht="24" customHeight="1" x14ac:dyDescent="0.2">
      <c r="A17" s="116" t="s">
        <v>97</v>
      </c>
      <c r="B17" s="225" t="s">
        <v>213</v>
      </c>
      <c r="C17" s="113"/>
      <c r="D17" s="123"/>
      <c r="E17" s="42"/>
      <c r="F17" s="27">
        <f>'RELAÇÃO DE RUAS '!G27</f>
        <v>7278.4049999999997</v>
      </c>
      <c r="G17" s="121"/>
      <c r="H17" s="121"/>
      <c r="I17" s="121"/>
      <c r="J17" s="46"/>
      <c r="K17" s="42"/>
      <c r="L17" s="42"/>
      <c r="M17" s="46"/>
      <c r="N17" s="42"/>
      <c r="O17" s="120"/>
      <c r="P17" s="24"/>
      <c r="S17" s="35"/>
      <c r="T17" s="1"/>
      <c r="U17" s="36"/>
      <c r="V17" s="37"/>
      <c r="W17" s="30"/>
    </row>
    <row r="18" spans="1:23" ht="20.25" customHeight="1" x14ac:dyDescent="0.2">
      <c r="A18" s="116" t="s">
        <v>98</v>
      </c>
      <c r="B18" s="225" t="s">
        <v>90</v>
      </c>
      <c r="C18" s="113"/>
      <c r="D18" s="123"/>
      <c r="E18" s="42"/>
      <c r="F18" s="27">
        <f>'RELAÇÃO DE RUAS '!G27</f>
        <v>7278.4049999999997</v>
      </c>
      <c r="G18" s="124"/>
      <c r="H18" s="124"/>
      <c r="I18" s="124"/>
      <c r="J18" s="46"/>
      <c r="K18" s="46"/>
      <c r="L18" s="46"/>
      <c r="M18" s="46"/>
      <c r="N18" s="46"/>
      <c r="O18" s="96"/>
      <c r="P18" s="48"/>
      <c r="R18" s="31"/>
      <c r="S18" s="31"/>
      <c r="T18" s="32"/>
      <c r="U18" s="33"/>
      <c r="V18" s="34"/>
      <c r="W18" s="34"/>
    </row>
    <row r="19" spans="1:23" ht="36.75" customHeight="1" x14ac:dyDescent="0.2">
      <c r="A19" s="116" t="s">
        <v>99</v>
      </c>
      <c r="B19" s="225" t="s">
        <v>208</v>
      </c>
      <c r="C19" s="113"/>
      <c r="D19" s="123"/>
      <c r="E19" s="42"/>
      <c r="F19" s="46">
        <f>F18</f>
        <v>7278.4049999999997</v>
      </c>
      <c r="G19" s="124">
        <v>0.03</v>
      </c>
      <c r="H19" s="124"/>
      <c r="I19" s="124"/>
      <c r="J19" s="46">
        <f>ROUND(F19*G19,2)</f>
        <v>218.35</v>
      </c>
      <c r="K19" s="46">
        <v>2.4</v>
      </c>
      <c r="L19" s="287">
        <f>ROUNDUP(J19*K19,2)</f>
        <v>524.04</v>
      </c>
      <c r="M19" s="46"/>
      <c r="N19" s="46"/>
      <c r="O19" s="96"/>
      <c r="P19" s="48"/>
      <c r="T19" s="35"/>
      <c r="U19" s="36"/>
      <c r="V19" s="37"/>
      <c r="W19" s="44"/>
    </row>
    <row r="20" spans="1:23" ht="26.25" customHeight="1" x14ac:dyDescent="0.2">
      <c r="A20" s="116" t="s">
        <v>100</v>
      </c>
      <c r="B20" s="225" t="s">
        <v>206</v>
      </c>
      <c r="C20" s="113"/>
      <c r="D20" s="123"/>
      <c r="E20" s="42"/>
      <c r="F20" s="46"/>
      <c r="G20" s="124"/>
      <c r="H20" s="124"/>
      <c r="I20" s="124"/>
      <c r="J20" s="46"/>
      <c r="K20" s="46"/>
      <c r="L20" s="46">
        <f>L19</f>
        <v>524.04</v>
      </c>
      <c r="M20" s="46"/>
      <c r="N20" s="268">
        <v>84.2</v>
      </c>
      <c r="O20" s="96"/>
      <c r="P20" s="29">
        <f>ROUND(L20*N20,2)</f>
        <v>44124.17</v>
      </c>
      <c r="T20" s="35"/>
      <c r="U20" s="36"/>
      <c r="V20" s="37"/>
      <c r="W20" s="44"/>
    </row>
    <row r="21" spans="1:23" ht="20.25" customHeight="1" x14ac:dyDescent="0.2">
      <c r="A21" s="269">
        <v>3</v>
      </c>
      <c r="B21" s="270" t="s">
        <v>92</v>
      </c>
      <c r="C21" s="273"/>
      <c r="D21" s="274"/>
      <c r="E21" s="268"/>
      <c r="F21" s="268"/>
      <c r="G21" s="271"/>
      <c r="H21" s="271"/>
      <c r="I21" s="271"/>
      <c r="J21" s="268"/>
      <c r="K21" s="268"/>
      <c r="L21" s="268"/>
      <c r="M21" s="268"/>
      <c r="N21" s="268"/>
      <c r="O21" s="275"/>
      <c r="P21" s="272"/>
      <c r="T21" s="35"/>
      <c r="U21" s="36"/>
      <c r="V21" s="37"/>
      <c r="W21" s="30"/>
    </row>
    <row r="22" spans="1:23" ht="51" x14ac:dyDescent="0.2">
      <c r="A22" s="41" t="s">
        <v>5</v>
      </c>
      <c r="B22" s="225" t="s">
        <v>129</v>
      </c>
      <c r="C22" s="109"/>
      <c r="D22" s="27">
        <f>'RELAÇÃO DE RUAS '!N28</f>
        <v>1851.6000000000001</v>
      </c>
      <c r="E22" s="42"/>
      <c r="F22" s="46"/>
      <c r="G22" s="121"/>
      <c r="H22" s="121"/>
      <c r="I22" s="121"/>
      <c r="J22" s="46"/>
      <c r="K22" s="42"/>
      <c r="L22" s="46"/>
      <c r="M22" s="46"/>
      <c r="N22" s="42"/>
      <c r="O22" s="42"/>
      <c r="P22" s="24"/>
      <c r="R22" s="31"/>
      <c r="S22" s="31"/>
      <c r="T22" s="32"/>
      <c r="U22" s="33"/>
      <c r="V22" s="34"/>
      <c r="W22" s="34"/>
    </row>
    <row r="23" spans="1:23" ht="28.5" customHeight="1" x14ac:dyDescent="0.2">
      <c r="A23" s="41" t="s">
        <v>26</v>
      </c>
      <c r="B23" s="225" t="s">
        <v>209</v>
      </c>
      <c r="C23" s="109"/>
      <c r="D23" s="27">
        <f>'RELAÇÃO DE RUAS '!P28</f>
        <v>1851.6000000000001</v>
      </c>
      <c r="E23" s="109"/>
      <c r="F23" s="46"/>
      <c r="G23" s="121"/>
      <c r="H23" s="121"/>
      <c r="I23" s="121"/>
      <c r="J23" s="46"/>
      <c r="K23" s="42"/>
      <c r="L23" s="46"/>
      <c r="M23" s="46"/>
      <c r="N23" s="42"/>
      <c r="O23" s="42"/>
      <c r="P23" s="24"/>
      <c r="T23" s="35"/>
      <c r="U23" s="36"/>
      <c r="V23" s="37"/>
      <c r="W23" s="30"/>
    </row>
    <row r="24" spans="1:23" ht="17.25" customHeight="1" x14ac:dyDescent="0.2">
      <c r="A24" s="269">
        <v>4</v>
      </c>
      <c r="B24" s="270" t="s">
        <v>94</v>
      </c>
      <c r="C24" s="270"/>
      <c r="D24" s="268"/>
      <c r="E24" s="270"/>
      <c r="F24" s="268"/>
      <c r="G24" s="271"/>
      <c r="H24" s="271"/>
      <c r="I24" s="271"/>
      <c r="J24" s="268"/>
      <c r="K24" s="268"/>
      <c r="L24" s="268"/>
      <c r="M24" s="268"/>
      <c r="N24" s="268"/>
      <c r="O24" s="268"/>
      <c r="P24" s="272"/>
      <c r="T24" s="35"/>
      <c r="U24" s="36"/>
      <c r="V24" s="37"/>
      <c r="W24" s="30"/>
    </row>
    <row r="25" spans="1:23" ht="36" customHeight="1" x14ac:dyDescent="0.2">
      <c r="A25" s="41" t="s">
        <v>23</v>
      </c>
      <c r="B25" s="226" t="s">
        <v>199</v>
      </c>
      <c r="C25" s="114">
        <f>'RELAÇÃO DE RUAS '!I27</f>
        <v>9</v>
      </c>
      <c r="D25" s="42"/>
      <c r="E25" s="42"/>
      <c r="F25" s="46"/>
      <c r="G25" s="121"/>
      <c r="H25" s="121"/>
      <c r="I25" s="121"/>
      <c r="J25" s="46"/>
      <c r="K25" s="42"/>
      <c r="L25" s="46"/>
      <c r="M25" s="46"/>
      <c r="N25" s="42"/>
      <c r="O25" s="42"/>
      <c r="P25" s="24"/>
      <c r="R25" s="31"/>
      <c r="S25" s="31"/>
      <c r="T25" s="32"/>
      <c r="U25" s="33"/>
      <c r="V25" s="34"/>
      <c r="W25" s="34"/>
    </row>
    <row r="26" spans="1:23" ht="42" customHeight="1" thickBot="1" x14ac:dyDescent="0.25">
      <c r="A26" s="41" t="s">
        <v>32</v>
      </c>
      <c r="B26" s="226" t="s">
        <v>127</v>
      </c>
      <c r="C26" s="109"/>
      <c r="D26" s="42"/>
      <c r="E26" s="42"/>
      <c r="F26" s="27">
        <f>'RELAÇÃO DE RUAS '!J27</f>
        <v>155.34</v>
      </c>
      <c r="G26" s="121"/>
      <c r="H26" s="121"/>
      <c r="I26" s="121"/>
      <c r="J26" s="46"/>
      <c r="K26" s="42"/>
      <c r="L26" s="46"/>
      <c r="M26" s="46"/>
      <c r="N26" s="42"/>
      <c r="O26" s="42"/>
      <c r="P26" s="24"/>
      <c r="T26" s="1"/>
    </row>
    <row r="27" spans="1:23" ht="51.75" thickBot="1" x14ac:dyDescent="0.25">
      <c r="A27" s="41" t="s">
        <v>31</v>
      </c>
      <c r="B27" s="226" t="s">
        <v>210</v>
      </c>
      <c r="C27" s="114">
        <f>'RELAÇÃO DE RUAS '!H27</f>
        <v>15</v>
      </c>
      <c r="D27" s="109"/>
      <c r="E27" s="109"/>
      <c r="F27" s="42"/>
      <c r="G27" s="121"/>
      <c r="H27" s="121"/>
      <c r="I27" s="121"/>
      <c r="J27" s="46"/>
      <c r="K27" s="42"/>
      <c r="L27" s="46"/>
      <c r="M27" s="46"/>
      <c r="N27" s="42"/>
      <c r="O27" s="42"/>
      <c r="P27" s="24"/>
      <c r="Q27" s="47"/>
      <c r="R27" s="38"/>
      <c r="S27" s="38"/>
      <c r="T27" s="38"/>
      <c r="U27" s="39"/>
      <c r="V27" s="39"/>
      <c r="W27" s="40"/>
    </row>
    <row r="28" spans="1:23" x14ac:dyDescent="0.2">
      <c r="A28" s="281">
        <v>5</v>
      </c>
      <c r="B28" s="282" t="s">
        <v>102</v>
      </c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4"/>
      <c r="P28" s="285"/>
      <c r="Q28" s="2"/>
      <c r="R28" s="2"/>
      <c r="S28" s="2"/>
    </row>
    <row r="29" spans="1:23" ht="37.5" customHeight="1" x14ac:dyDescent="0.2">
      <c r="A29" s="117" t="s">
        <v>27</v>
      </c>
      <c r="B29" s="100" t="s">
        <v>198</v>
      </c>
      <c r="C29" s="183">
        <f>'RELAÇÃO DE RUAS '!R28</f>
        <v>1851.6000000000001</v>
      </c>
      <c r="D29" s="101"/>
      <c r="E29" s="101">
        <v>1.2</v>
      </c>
      <c r="F29" s="231">
        <f>C29*E29</f>
        <v>2221.92</v>
      </c>
      <c r="G29" s="101">
        <v>0.06</v>
      </c>
      <c r="H29" s="101"/>
      <c r="I29" s="101"/>
      <c r="J29" s="232">
        <f>ROUNDUP(F29*G29,2)</f>
        <v>133.32</v>
      </c>
      <c r="K29" s="101"/>
      <c r="L29" s="101"/>
      <c r="M29" s="101"/>
      <c r="N29" s="101"/>
      <c r="O29" s="125"/>
      <c r="P29" s="126"/>
      <c r="Q29" s="2"/>
      <c r="R29" s="2"/>
      <c r="S29" s="2"/>
    </row>
    <row r="30" spans="1:23" ht="45" customHeight="1" thickBot="1" x14ac:dyDescent="0.25">
      <c r="A30" s="118" t="s">
        <v>93</v>
      </c>
      <c r="B30" s="295" t="s">
        <v>212</v>
      </c>
      <c r="C30" s="119">
        <f>'RELAÇÃO DE RUAS '!K27</f>
        <v>54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8"/>
      <c r="P30" s="129"/>
      <c r="Q30" s="2"/>
      <c r="R30" s="2"/>
      <c r="S30" s="2"/>
    </row>
    <row r="32" spans="1:23" s="145" customFormat="1" x14ac:dyDescent="0.2">
      <c r="Q32" s="1"/>
      <c r="R32" s="1"/>
      <c r="S32" s="1"/>
    </row>
    <row r="33" spans="3:16" x14ac:dyDescent="0.2">
      <c r="L33" s="5"/>
      <c r="M33" s="5"/>
      <c r="N33" s="5"/>
      <c r="O33" s="5"/>
      <c r="P33" s="5"/>
    </row>
    <row r="34" spans="3:16" ht="18" x14ac:dyDescent="0.2">
      <c r="C34" s="174"/>
      <c r="D34" s="175" t="s">
        <v>136</v>
      </c>
      <c r="E34" s="176"/>
      <c r="F34" s="177">
        <f>SUM(J29:J29)</f>
        <v>133.32</v>
      </c>
      <c r="H34" s="175" t="s">
        <v>131</v>
      </c>
      <c r="I34" s="176"/>
      <c r="J34" s="177"/>
      <c r="L34" s="264"/>
      <c r="M34" s="264"/>
      <c r="N34" s="265"/>
      <c r="O34" s="5"/>
      <c r="P34" s="5"/>
    </row>
    <row r="35" spans="3:16" x14ac:dyDescent="0.2">
      <c r="C35" s="174"/>
      <c r="D35" s="178" t="s">
        <v>137</v>
      </c>
      <c r="E35" s="179" t="s">
        <v>29</v>
      </c>
      <c r="F35" s="174"/>
      <c r="H35" s="178" t="s">
        <v>132</v>
      </c>
      <c r="I35" s="179"/>
      <c r="J35" s="174"/>
      <c r="L35" s="264"/>
      <c r="M35" s="264"/>
      <c r="N35" s="264"/>
      <c r="O35" s="5"/>
      <c r="P35" s="5"/>
    </row>
    <row r="36" spans="3:16" x14ac:dyDescent="0.2">
      <c r="C36" s="174"/>
      <c r="D36" s="180"/>
      <c r="E36" s="181"/>
      <c r="F36" s="174"/>
      <c r="H36" s="180" t="s">
        <v>133</v>
      </c>
      <c r="I36" s="181"/>
      <c r="J36" s="174"/>
      <c r="L36" s="264"/>
      <c r="M36" s="264"/>
      <c r="N36" s="264"/>
      <c r="O36" s="5"/>
      <c r="P36" s="5"/>
    </row>
    <row r="37" spans="3:16" x14ac:dyDescent="0.2">
      <c r="L37" s="5"/>
      <c r="M37" s="5"/>
      <c r="N37" s="5"/>
      <c r="O37" s="5"/>
      <c r="P37" s="5"/>
    </row>
  </sheetData>
  <mergeCells count="3">
    <mergeCell ref="A1:P1"/>
    <mergeCell ref="B3:E3"/>
    <mergeCell ref="A7:P7"/>
  </mergeCells>
  <pageMargins left="0.51181102362204722" right="0.51181102362204722" top="0.78740157480314965" bottom="0.78740157480314965" header="0.31496062992125984" footer="0.31496062992125984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opLeftCell="I1" workbookViewId="0">
      <selection activeCell="I35" sqref="I35:R35"/>
    </sheetView>
  </sheetViews>
  <sheetFormatPr defaultRowHeight="12.75" x14ac:dyDescent="0.2"/>
  <cols>
    <col min="1" max="8" width="0" hidden="1" customWidth="1"/>
    <col min="12" max="12" width="13" customWidth="1"/>
    <col min="14" max="14" width="11.140625" bestFit="1" customWidth="1"/>
    <col min="15" max="15" width="9.85546875" customWidth="1"/>
    <col min="16" max="16" width="10.42578125" customWidth="1"/>
  </cols>
  <sheetData>
    <row r="1" spans="1:19" ht="15.75" x14ac:dyDescent="0.25">
      <c r="A1" s="192"/>
      <c r="B1" s="192"/>
      <c r="C1" s="192"/>
      <c r="D1" s="192"/>
      <c r="E1" s="193" t="s">
        <v>139</v>
      </c>
      <c r="F1" s="193" t="s">
        <v>140</v>
      </c>
      <c r="G1" s="193" t="s">
        <v>141</v>
      </c>
      <c r="H1" s="192"/>
      <c r="I1" s="192"/>
      <c r="J1" s="192"/>
      <c r="K1" s="192"/>
      <c r="L1" s="192"/>
      <c r="M1" s="192"/>
      <c r="N1" s="194" t="s">
        <v>196</v>
      </c>
      <c r="O1" s="192"/>
      <c r="P1" s="192"/>
      <c r="Q1" s="144"/>
      <c r="R1" s="144"/>
      <c r="S1" s="192"/>
    </row>
    <row r="2" spans="1:19" x14ac:dyDescent="0.2">
      <c r="A2" s="192" t="s">
        <v>142</v>
      </c>
      <c r="B2" s="195" t="s">
        <v>143</v>
      </c>
      <c r="C2" s="192" t="str">
        <f t="shared" ref="C2:C49" si="0">CONCATENATE(A2,"-",B2)</f>
        <v>Construção e Reforma de Edifícios-AC</v>
      </c>
      <c r="D2" s="192"/>
      <c r="E2" s="196">
        <v>0.03</v>
      </c>
      <c r="F2" s="196">
        <v>0.04</v>
      </c>
      <c r="G2" s="196">
        <v>5.5E-2</v>
      </c>
      <c r="H2" s="192"/>
      <c r="I2" s="192"/>
      <c r="J2" s="192"/>
      <c r="K2" s="192"/>
      <c r="L2" s="192"/>
      <c r="M2" s="192"/>
      <c r="N2" s="192"/>
      <c r="O2" s="192"/>
      <c r="P2" s="192"/>
      <c r="Q2" s="144"/>
      <c r="R2" s="144"/>
      <c r="S2" s="192"/>
    </row>
    <row r="3" spans="1:19" x14ac:dyDescent="0.2">
      <c r="A3" s="192" t="str">
        <f>A2</f>
        <v>Construção e Reforma de Edifícios</v>
      </c>
      <c r="B3" s="195" t="s">
        <v>144</v>
      </c>
      <c r="C3" s="192" t="str">
        <f t="shared" si="0"/>
        <v>Construção e Reforma de Edifícios-SG</v>
      </c>
      <c r="D3" s="192"/>
      <c r="E3" s="196">
        <v>8.0000000000000002E-3</v>
      </c>
      <c r="F3" s="196">
        <v>8.0000000000000002E-3</v>
      </c>
      <c r="G3" s="196">
        <v>0.01</v>
      </c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</row>
    <row r="4" spans="1:19" x14ac:dyDescent="0.2">
      <c r="A4" s="192" t="str">
        <f>A3</f>
        <v>Construção e Reforma de Edifícios</v>
      </c>
      <c r="B4" s="195" t="s">
        <v>145</v>
      </c>
      <c r="C4" s="192" t="str">
        <f t="shared" si="0"/>
        <v>Construção e Reforma de Edifícios-R</v>
      </c>
      <c r="D4" s="192"/>
      <c r="E4" s="196">
        <v>9.7000000000000003E-3</v>
      </c>
      <c r="F4" s="196">
        <v>1.2699999999999999E-2</v>
      </c>
      <c r="G4" s="196">
        <v>1.2699999999999999E-2</v>
      </c>
      <c r="H4" s="192"/>
      <c r="I4" s="556" t="s">
        <v>146</v>
      </c>
      <c r="J4" s="557"/>
      <c r="K4" s="556" t="s">
        <v>147</v>
      </c>
      <c r="L4" s="558"/>
      <c r="M4" s="558"/>
      <c r="N4" s="558"/>
      <c r="O4" s="558"/>
      <c r="P4" s="558"/>
      <c r="Q4" s="558"/>
      <c r="R4" s="557"/>
      <c r="S4" s="192"/>
    </row>
    <row r="5" spans="1:19" ht="19.5" x14ac:dyDescent="0.3">
      <c r="A5" s="192" t="str">
        <f>A4</f>
        <v>Construção e Reforma de Edifícios</v>
      </c>
      <c r="B5" s="195" t="s">
        <v>148</v>
      </c>
      <c r="C5" s="192" t="str">
        <f t="shared" si="0"/>
        <v>Construção e Reforma de Edifícios-DF</v>
      </c>
      <c r="D5" s="192"/>
      <c r="E5" s="196">
        <v>5.8999999999999999E-3</v>
      </c>
      <c r="F5" s="196">
        <v>1.23E-2</v>
      </c>
      <c r="G5" s="196">
        <v>1.3899999999999999E-2</v>
      </c>
      <c r="H5" s="192"/>
      <c r="I5" s="559">
        <f>[1]DADOS!A29</f>
        <v>0</v>
      </c>
      <c r="J5" s="560"/>
      <c r="K5" s="561" t="str">
        <f>[1]DADOS!A32</f>
        <v>PREFEITURA MUNICPAL DE PAPAGAIOS</v>
      </c>
      <c r="L5" s="562"/>
      <c r="M5" s="562"/>
      <c r="N5" s="562"/>
      <c r="O5" s="562"/>
      <c r="P5" s="562"/>
      <c r="Q5" s="562"/>
      <c r="R5" s="563"/>
      <c r="S5" s="197"/>
    </row>
    <row r="6" spans="1:19" x14ac:dyDescent="0.2">
      <c r="A6" s="192" t="str">
        <f>A5</f>
        <v>Construção e Reforma de Edifícios</v>
      </c>
      <c r="B6" s="195" t="s">
        <v>149</v>
      </c>
      <c r="C6" s="192" t="str">
        <f t="shared" si="0"/>
        <v>Construção e Reforma de Edifícios-L</v>
      </c>
      <c r="D6" s="192"/>
      <c r="E6" s="196">
        <v>6.1600000000000002E-2</v>
      </c>
      <c r="F6" s="196">
        <v>7.400000000000001E-2</v>
      </c>
      <c r="G6" s="196">
        <v>8.9600000000000013E-2</v>
      </c>
      <c r="H6" s="192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2"/>
    </row>
    <row r="7" spans="1:19" x14ac:dyDescent="0.2">
      <c r="A7" s="192" t="str">
        <f>A6</f>
        <v>Construção e Reforma de Edifícios</v>
      </c>
      <c r="B7" s="199" t="s">
        <v>150</v>
      </c>
      <c r="C7" s="192" t="str">
        <f t="shared" si="0"/>
        <v>Construção e Reforma de Edifícios-BDI PAD</v>
      </c>
      <c r="D7" s="192"/>
      <c r="E7" s="196">
        <v>0.2034</v>
      </c>
      <c r="F7" s="196">
        <v>0.22120000000000001</v>
      </c>
      <c r="G7" s="196">
        <v>0.25</v>
      </c>
      <c r="H7" s="192"/>
      <c r="I7" s="556" t="s">
        <v>151</v>
      </c>
      <c r="J7" s="558"/>
      <c r="K7" s="558"/>
      <c r="L7" s="558"/>
      <c r="M7" s="558"/>
      <c r="N7" s="558"/>
      <c r="O7" s="558"/>
      <c r="P7" s="558"/>
      <c r="Q7" s="558"/>
      <c r="R7" s="557"/>
      <c r="S7" s="192"/>
    </row>
    <row r="8" spans="1:19" x14ac:dyDescent="0.2">
      <c r="A8" s="192" t="s">
        <v>152</v>
      </c>
      <c r="B8" s="195" t="s">
        <v>143</v>
      </c>
      <c r="C8" s="192" t="str">
        <f t="shared" si="0"/>
        <v>Construção de Praças Urbanas, Rodovias, Ferrovias e recapeamento e pavimentação de vias urbanas-AC</v>
      </c>
      <c r="D8" s="192"/>
      <c r="E8" s="196">
        <v>3.7999999999999999E-2</v>
      </c>
      <c r="F8" s="196">
        <v>4.0099999999999997E-2</v>
      </c>
      <c r="G8" s="196">
        <v>4.6699999999999998E-2</v>
      </c>
      <c r="H8" s="192"/>
      <c r="I8" s="555" t="str">
        <f>[1]DADOS!P29</f>
        <v xml:space="preserve">PAVIMENTAÇÃO </v>
      </c>
      <c r="J8" s="555"/>
      <c r="K8" s="555"/>
      <c r="L8" s="555"/>
      <c r="M8" s="555"/>
      <c r="N8" s="555"/>
      <c r="O8" s="555"/>
      <c r="P8" s="555"/>
      <c r="Q8" s="555"/>
      <c r="R8" s="555"/>
      <c r="S8" s="192"/>
    </row>
    <row r="9" spans="1:19" x14ac:dyDescent="0.2">
      <c r="A9" s="192" t="s">
        <v>152</v>
      </c>
      <c r="B9" s="195" t="s">
        <v>144</v>
      </c>
      <c r="C9" s="192" t="str">
        <f t="shared" si="0"/>
        <v>Construção de Praças Urbanas, Rodovias, Ferrovias e recapeamento e pavimentação de vias urbanas-SG</v>
      </c>
      <c r="D9" s="192"/>
      <c r="E9" s="196">
        <v>3.2000000000000002E-3</v>
      </c>
      <c r="F9" s="196">
        <v>4.0000000000000001E-3</v>
      </c>
      <c r="G9" s="196">
        <v>7.4000000000000003E-3</v>
      </c>
      <c r="H9" s="192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2"/>
    </row>
    <row r="10" spans="1:19" x14ac:dyDescent="0.2">
      <c r="A10" s="192" t="s">
        <v>152</v>
      </c>
      <c r="B10" s="195" t="s">
        <v>145</v>
      </c>
      <c r="C10" s="192" t="str">
        <f t="shared" si="0"/>
        <v>Construção de Praças Urbanas, Rodovias, Ferrovias e recapeamento e pavimentação de vias urbanas-R</v>
      </c>
      <c r="D10" s="192"/>
      <c r="E10" s="196">
        <v>5.0000000000000001E-3</v>
      </c>
      <c r="F10" s="196">
        <v>5.6000000000000008E-3</v>
      </c>
      <c r="G10" s="196">
        <v>9.7000000000000003E-3</v>
      </c>
      <c r="H10" s="192"/>
      <c r="I10" s="556" t="s">
        <v>153</v>
      </c>
      <c r="J10" s="558"/>
      <c r="K10" s="558"/>
      <c r="L10" s="558"/>
      <c r="M10" s="558"/>
      <c r="N10" s="558"/>
      <c r="O10" s="558"/>
      <c r="P10" s="558"/>
      <c r="Q10" s="556" t="s">
        <v>154</v>
      </c>
      <c r="R10" s="557"/>
      <c r="S10" s="192"/>
    </row>
    <row r="11" spans="1:19" x14ac:dyDescent="0.2">
      <c r="A11" s="192" t="s">
        <v>152</v>
      </c>
      <c r="B11" s="195" t="s">
        <v>148</v>
      </c>
      <c r="C11" s="192" t="str">
        <f t="shared" si="0"/>
        <v>Construção de Praças Urbanas, Rodovias, Ferrovias e recapeamento e pavimentação de vias urbanas-DF</v>
      </c>
      <c r="D11" s="192"/>
      <c r="E11" s="196">
        <v>1.0200000000000001E-2</v>
      </c>
      <c r="F11" s="196">
        <v>1.11E-2</v>
      </c>
      <c r="G11" s="196">
        <v>1.21E-2</v>
      </c>
      <c r="H11" s="192"/>
      <c r="I11" s="564" t="s">
        <v>152</v>
      </c>
      <c r="J11" s="565"/>
      <c r="K11" s="565"/>
      <c r="L11" s="565"/>
      <c r="M11" s="565"/>
      <c r="N11" s="565"/>
      <c r="O11" s="565"/>
      <c r="P11" s="566"/>
      <c r="Q11" s="567" t="str">
        <f>[1]DADOS!$C$38</f>
        <v>Sim</v>
      </c>
      <c r="R11" s="568"/>
      <c r="S11" s="192"/>
    </row>
    <row r="12" spans="1:19" x14ac:dyDescent="0.2">
      <c r="A12" s="192" t="s">
        <v>152</v>
      </c>
      <c r="B12" s="195" t="s">
        <v>149</v>
      </c>
      <c r="C12" s="192" t="str">
        <f t="shared" si="0"/>
        <v>Construção de Praças Urbanas, Rodovias, Ferrovias e recapeamento e pavimentação de vias urbanas-L</v>
      </c>
      <c r="D12" s="192"/>
      <c r="E12" s="196">
        <v>6.6400000000000001E-2</v>
      </c>
      <c r="F12" s="196">
        <v>7.2999999999999995E-2</v>
      </c>
      <c r="G12" s="196">
        <v>8.6899999999999991E-2</v>
      </c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</row>
    <row r="13" spans="1:19" ht="24" customHeight="1" x14ac:dyDescent="0.2">
      <c r="A13" s="192" t="s">
        <v>152</v>
      </c>
      <c r="B13" s="199" t="s">
        <v>150</v>
      </c>
      <c r="C13" s="192" t="str">
        <f t="shared" si="0"/>
        <v>Construção de Praças Urbanas, Rodovias, Ferrovias e recapeamento e pavimentação de vias urbanas-BDI PAD</v>
      </c>
      <c r="D13" s="192"/>
      <c r="E13" s="196">
        <v>0.19600000000000001</v>
      </c>
      <c r="F13" s="196">
        <v>0.2097</v>
      </c>
      <c r="G13" s="196">
        <v>0.24230000000000002</v>
      </c>
      <c r="H13" s="192"/>
      <c r="I13" s="569" t="s">
        <v>155</v>
      </c>
      <c r="J13" s="569"/>
      <c r="K13" s="569"/>
      <c r="L13" s="569"/>
      <c r="M13" s="569"/>
      <c r="N13" s="569"/>
      <c r="O13" s="569"/>
      <c r="P13" s="569"/>
      <c r="Q13" s="570">
        <v>1</v>
      </c>
      <c r="R13" s="570"/>
      <c r="S13" s="192"/>
    </row>
    <row r="14" spans="1:19" x14ac:dyDescent="0.2">
      <c r="A14" s="192" t="s">
        <v>156</v>
      </c>
      <c r="B14" s="195" t="s">
        <v>143</v>
      </c>
      <c r="C14" s="192" t="str">
        <f t="shared" si="0"/>
        <v>Construção de Redes de Abastecimento de Água, Coleta de Esgoto-AC</v>
      </c>
      <c r="D14" s="192"/>
      <c r="E14" s="196">
        <v>3.4300000000000004E-2</v>
      </c>
      <c r="F14" s="196">
        <v>4.9299999999999997E-2</v>
      </c>
      <c r="G14" s="196">
        <v>6.7099999999999993E-2</v>
      </c>
      <c r="H14" s="192"/>
      <c r="I14" s="571" t="s">
        <v>157</v>
      </c>
      <c r="J14" s="571"/>
      <c r="K14" s="571"/>
      <c r="L14" s="571"/>
      <c r="M14" s="571"/>
      <c r="N14" s="571"/>
      <c r="O14" s="571"/>
      <c r="P14" s="571"/>
      <c r="Q14" s="570">
        <v>0.02</v>
      </c>
      <c r="R14" s="570"/>
      <c r="S14" s="192"/>
    </row>
    <row r="15" spans="1:19" x14ac:dyDescent="0.2">
      <c r="A15" s="192" t="str">
        <f>A14</f>
        <v>Construção de Redes de Abastecimento de Água, Coleta de Esgoto</v>
      </c>
      <c r="B15" s="195" t="s">
        <v>144</v>
      </c>
      <c r="C15" s="192" t="str">
        <f t="shared" si="0"/>
        <v>Construção de Redes de Abastecimento de Água, Coleta de Esgoto-SG</v>
      </c>
      <c r="D15" s="192"/>
      <c r="E15" s="196">
        <v>2.8000000000000004E-3</v>
      </c>
      <c r="F15" s="196">
        <v>4.8999999999999998E-3</v>
      </c>
      <c r="G15" s="196">
        <v>7.4999999999999997E-3</v>
      </c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</row>
    <row r="16" spans="1:19" x14ac:dyDescent="0.2">
      <c r="A16" s="192"/>
      <c r="B16" s="195"/>
      <c r="C16" s="192"/>
      <c r="D16" s="192"/>
      <c r="E16" s="196"/>
      <c r="F16" s="196"/>
      <c r="G16" s="196"/>
      <c r="H16" s="192"/>
      <c r="I16" s="572" t="s">
        <v>158</v>
      </c>
      <c r="J16" s="572"/>
      <c r="K16" s="572"/>
      <c r="L16" s="572"/>
      <c r="M16" s="572" t="s">
        <v>159</v>
      </c>
      <c r="N16" s="573" t="s">
        <v>160</v>
      </c>
      <c r="O16" s="573" t="s">
        <v>161</v>
      </c>
      <c r="P16" s="574" t="s">
        <v>162</v>
      </c>
      <c r="Q16" s="574" t="s">
        <v>163</v>
      </c>
      <c r="R16" s="575" t="s">
        <v>164</v>
      </c>
      <c r="S16" s="192"/>
    </row>
    <row r="17" spans="1:19" x14ac:dyDescent="0.2">
      <c r="A17" s="192" t="str">
        <f>A15</f>
        <v>Construção de Redes de Abastecimento de Água, Coleta de Esgoto</v>
      </c>
      <c r="B17" s="195" t="s">
        <v>145</v>
      </c>
      <c r="C17" s="192" t="str">
        <f t="shared" si="0"/>
        <v>Construção de Redes de Abastecimento de Água, Coleta de Esgoto-R</v>
      </c>
      <c r="D17" s="192"/>
      <c r="E17" s="196">
        <v>0.01</v>
      </c>
      <c r="F17" s="196">
        <v>1.3899999999999999E-2</v>
      </c>
      <c r="G17" s="196">
        <v>1.7399999999999999E-2</v>
      </c>
      <c r="H17" s="192"/>
      <c r="I17" s="572"/>
      <c r="J17" s="572"/>
      <c r="K17" s="572"/>
      <c r="L17" s="572"/>
      <c r="M17" s="572"/>
      <c r="N17" s="573"/>
      <c r="O17" s="573"/>
      <c r="P17" s="574"/>
      <c r="Q17" s="574"/>
      <c r="R17" s="575"/>
      <c r="S17" s="192"/>
    </row>
    <row r="18" spans="1:19" ht="15" x14ac:dyDescent="0.2">
      <c r="A18" s="192" t="str">
        <f>A17</f>
        <v>Construção de Redes de Abastecimento de Água, Coleta de Esgoto</v>
      </c>
      <c r="B18" s="195" t="s">
        <v>148</v>
      </c>
      <c r="C18" s="192" t="str">
        <f t="shared" si="0"/>
        <v>Construção de Redes de Abastecimento de Água, Coleta de Esgoto-DF</v>
      </c>
      <c r="D18" s="192"/>
      <c r="E18" s="196">
        <v>9.3999999999999986E-3</v>
      </c>
      <c r="F18" s="196">
        <v>9.8999999999999991E-3</v>
      </c>
      <c r="G18" s="196">
        <v>1.1699999999999999E-2</v>
      </c>
      <c r="H18" s="192"/>
      <c r="I18" s="577" t="str">
        <f>IF($I$11=$A$59,"Encargos Sociais incidentes sobre a mão de obra","Administração Central")</f>
        <v>Administração Central</v>
      </c>
      <c r="J18" s="577"/>
      <c r="K18" s="577"/>
      <c r="L18" s="577"/>
      <c r="M18" s="200" t="str">
        <f>IF($I$11=$A$59,"K1","AC")</f>
        <v>AC</v>
      </c>
      <c r="N18" s="201">
        <v>3.7999999999999999E-2</v>
      </c>
      <c r="O18" s="202" t="s">
        <v>165</v>
      </c>
      <c r="P18" s="203">
        <f>VLOOKUP(CONCATENATE(I$11,"-",M18),$C$2:$G$49,3,FALSE)</f>
        <v>3.7999999999999999E-2</v>
      </c>
      <c r="Q18" s="203">
        <f>VLOOKUP(CONCATENATE(I$11,"-",M18),$C$2:$G$49,4,FALSE)</f>
        <v>4.0099999999999997E-2</v>
      </c>
      <c r="R18" s="203">
        <f>VLOOKUP(CONCATENATE(I$11,"-",M18),$C$2:$G$49,5,FALSE)</f>
        <v>4.6699999999999998E-2</v>
      </c>
      <c r="S18" s="192"/>
    </row>
    <row r="19" spans="1:19" ht="15" x14ac:dyDescent="0.2">
      <c r="A19" s="192" t="str">
        <f>A18</f>
        <v>Construção de Redes de Abastecimento de Água, Coleta de Esgoto</v>
      </c>
      <c r="B19" s="195" t="s">
        <v>149</v>
      </c>
      <c r="C19" s="192" t="str">
        <f t="shared" si="0"/>
        <v>Construção de Redes de Abastecimento de Água, Coleta de Esgoto-L</v>
      </c>
      <c r="D19" s="192"/>
      <c r="E19" s="196">
        <v>6.7400000000000002E-2</v>
      </c>
      <c r="F19" s="196">
        <v>8.0399999999999985E-2</v>
      </c>
      <c r="G19" s="196">
        <v>9.4E-2</v>
      </c>
      <c r="H19" s="192"/>
      <c r="I19" s="577" t="str">
        <f>IF($I$11=$A$59,"Administração Central da empresa ou consultoria - overhead","Seguro e Garantia")</f>
        <v>Seguro e Garantia</v>
      </c>
      <c r="J19" s="577"/>
      <c r="K19" s="577"/>
      <c r="L19" s="577"/>
      <c r="M19" s="200" t="str">
        <f>IF($I$11=$A$59,"K2","SG")</f>
        <v>SG</v>
      </c>
      <c r="N19" s="201">
        <v>3.2000000000000002E-3</v>
      </c>
      <c r="O19" s="202" t="s">
        <v>165</v>
      </c>
      <c r="P19" s="203">
        <f>VLOOKUP(CONCATENATE(I$11,"-",M19),$C$2:$G$49,3,FALSE)</f>
        <v>3.2000000000000002E-3</v>
      </c>
      <c r="Q19" s="203">
        <f>VLOOKUP(CONCATENATE(I$11,"-",M19),$C$2:$G$49,4,FALSE)</f>
        <v>4.0000000000000001E-3</v>
      </c>
      <c r="R19" s="203">
        <f>VLOOKUP(CONCATENATE(I$11,"-",M19),$C$2:$G$49,5,FALSE)</f>
        <v>7.4000000000000003E-3</v>
      </c>
      <c r="S19" s="192"/>
    </row>
    <row r="20" spans="1:19" ht="15" x14ac:dyDescent="0.2">
      <c r="A20" s="192" t="str">
        <f>A19</f>
        <v>Construção de Redes de Abastecimento de Água, Coleta de Esgoto</v>
      </c>
      <c r="B20" s="199" t="s">
        <v>150</v>
      </c>
      <c r="C20" s="192" t="str">
        <f t="shared" si="0"/>
        <v>Construção de Redes de Abastecimento de Água, Coleta de Esgoto-BDI PAD</v>
      </c>
      <c r="D20" s="192"/>
      <c r="E20" s="196">
        <v>0.20760000000000001</v>
      </c>
      <c r="F20" s="196">
        <v>0.24179999999999999</v>
      </c>
      <c r="G20" s="196">
        <v>0.26440000000000002</v>
      </c>
      <c r="H20" s="192"/>
      <c r="I20" s="577" t="str">
        <f>IF($I$11=$A$59,"","Risco")</f>
        <v>Risco</v>
      </c>
      <c r="J20" s="577"/>
      <c r="K20" s="577"/>
      <c r="L20" s="577"/>
      <c r="M20" s="200" t="str">
        <f>IF($I$11=$A$59,"","R")</f>
        <v>R</v>
      </c>
      <c r="N20" s="201">
        <v>5.0000000000000001E-3</v>
      </c>
      <c r="O20" s="202" t="s">
        <v>165</v>
      </c>
      <c r="P20" s="203">
        <f>VLOOKUP(CONCATENATE(I$11,"-",M20),$C$2:$G$49,3,FALSE)</f>
        <v>5.0000000000000001E-3</v>
      </c>
      <c r="Q20" s="203">
        <f>VLOOKUP(CONCATENATE(I$11,"-",M20),$C$2:$G$49,4,FALSE)</f>
        <v>5.6000000000000008E-3</v>
      </c>
      <c r="R20" s="203">
        <f>VLOOKUP(CONCATENATE(I$11,"-",M20),$C$2:$G$49,5,FALSE)</f>
        <v>9.7000000000000003E-3</v>
      </c>
      <c r="S20" s="192"/>
    </row>
    <row r="21" spans="1:19" ht="15" x14ac:dyDescent="0.2">
      <c r="A21" s="192" t="s">
        <v>166</v>
      </c>
      <c r="B21" s="195" t="s">
        <v>143</v>
      </c>
      <c r="C21" s="192" t="str">
        <f t="shared" si="0"/>
        <v>Construção e Manutenção de Estações e Redes de Distribuição de Energia Elétrica-AC</v>
      </c>
      <c r="D21" s="192"/>
      <c r="E21" s="196">
        <v>5.2900000000000003E-2</v>
      </c>
      <c r="F21" s="196">
        <v>5.9200000000000003E-2</v>
      </c>
      <c r="G21" s="196">
        <v>7.9299999999999995E-2</v>
      </c>
      <c r="H21" s="192"/>
      <c r="I21" s="577" t="str">
        <f>IF($I$11=$A$59,"","Despesas Financeiras")</f>
        <v>Despesas Financeiras</v>
      </c>
      <c r="J21" s="577"/>
      <c r="K21" s="577"/>
      <c r="L21" s="577"/>
      <c r="M21" s="200" t="str">
        <f>IF($I$11=$A$59,"","DF")</f>
        <v>DF</v>
      </c>
      <c r="N21" s="201">
        <v>1.0200000000000001E-2</v>
      </c>
      <c r="O21" s="202" t="s">
        <v>165</v>
      </c>
      <c r="P21" s="203">
        <f>VLOOKUP(CONCATENATE(I$11,"-",M21),$C$2:$G$49,3,FALSE)</f>
        <v>1.0200000000000001E-2</v>
      </c>
      <c r="Q21" s="203">
        <f>VLOOKUP(CONCATENATE(I$11,"-",M21),$C$2:$G$49,4,FALSE)</f>
        <v>1.11E-2</v>
      </c>
      <c r="R21" s="203">
        <f>VLOOKUP(CONCATENATE(I$11,"-",M21),$C$2:$G$49,5,FALSE)</f>
        <v>1.21E-2</v>
      </c>
      <c r="S21" s="192"/>
    </row>
    <row r="22" spans="1:19" ht="15" x14ac:dyDescent="0.2">
      <c r="A22" s="192" t="str">
        <f>A21</f>
        <v>Construção e Manutenção de Estações e Redes de Distribuição de Energia Elétrica</v>
      </c>
      <c r="B22" s="195" t="s">
        <v>144</v>
      </c>
      <c r="C22" s="192" t="str">
        <f t="shared" si="0"/>
        <v>Construção e Manutenção de Estações e Redes de Distribuição de Energia Elétrica-SG</v>
      </c>
      <c r="D22" s="192"/>
      <c r="E22" s="196">
        <v>2.5000000000000001E-3</v>
      </c>
      <c r="F22" s="196">
        <v>5.1000000000000004E-3</v>
      </c>
      <c r="G22" s="196">
        <v>5.6000000000000008E-3</v>
      </c>
      <c r="H22" s="192"/>
      <c r="I22" s="577" t="str">
        <f>IF($I$11=$A$59,"Margem bruta da empresa de consultoria","Lucro")</f>
        <v>Lucro</v>
      </c>
      <c r="J22" s="577"/>
      <c r="K22" s="577"/>
      <c r="L22" s="577"/>
      <c r="M22" s="200" t="str">
        <f>IF($I$11=$A$59,"K3","L")</f>
        <v>L</v>
      </c>
      <c r="N22" s="201">
        <v>7.3800000000000004E-2</v>
      </c>
      <c r="O22" s="202" t="s">
        <v>165</v>
      </c>
      <c r="P22" s="203">
        <f>VLOOKUP(CONCATENATE(I$11,"-",M22),$C$2:$G$49,3,FALSE)</f>
        <v>6.6400000000000001E-2</v>
      </c>
      <c r="Q22" s="203">
        <f>VLOOKUP(CONCATENATE(I$11,"-",M22),$C$2:$G$49,4,FALSE)</f>
        <v>7.2999999999999995E-2</v>
      </c>
      <c r="R22" s="203">
        <f>VLOOKUP(CONCATENATE(I$11,"-",M22),$C$2:$G$49,5,FALSE)</f>
        <v>8.6899999999999991E-2</v>
      </c>
      <c r="S22" s="192"/>
    </row>
    <row r="23" spans="1:19" ht="15" x14ac:dyDescent="0.2">
      <c r="A23" s="192" t="str">
        <f>A22</f>
        <v>Construção e Manutenção de Estações e Redes de Distribuição de Energia Elétrica</v>
      </c>
      <c r="B23" s="195" t="s">
        <v>145</v>
      </c>
      <c r="C23" s="192" t="str">
        <f t="shared" si="0"/>
        <v>Construção e Manutenção de Estações e Redes de Distribuição de Energia Elétrica-R</v>
      </c>
      <c r="D23" s="192"/>
      <c r="E23" s="196">
        <v>0.01</v>
      </c>
      <c r="F23" s="196">
        <v>1.4800000000000001E-2</v>
      </c>
      <c r="G23" s="196">
        <v>1.9699999999999999E-2</v>
      </c>
      <c r="H23" s="192"/>
      <c r="I23" s="578" t="s">
        <v>167</v>
      </c>
      <c r="J23" s="578"/>
      <c r="K23" s="578"/>
      <c r="L23" s="578"/>
      <c r="M23" s="200" t="s">
        <v>168</v>
      </c>
      <c r="N23" s="201">
        <v>3.6499999999999998E-2</v>
      </c>
      <c r="O23" s="202" t="s">
        <v>165</v>
      </c>
      <c r="P23" s="203">
        <v>3.6499999999999998E-2</v>
      </c>
      <c r="Q23" s="203">
        <v>3.6499999999999998E-2</v>
      </c>
      <c r="R23" s="203">
        <v>3.6499999999999998E-2</v>
      </c>
      <c r="S23" s="192"/>
    </row>
    <row r="24" spans="1:19" ht="31.5" customHeight="1" x14ac:dyDescent="0.2">
      <c r="A24" s="192" t="str">
        <f>A23</f>
        <v>Construção e Manutenção de Estações e Redes de Distribuição de Energia Elétrica</v>
      </c>
      <c r="B24" s="195" t="s">
        <v>148</v>
      </c>
      <c r="C24" s="192" t="str">
        <f t="shared" si="0"/>
        <v>Construção e Manutenção de Estações e Redes de Distribuição de Energia Elétrica-DF</v>
      </c>
      <c r="D24" s="192"/>
      <c r="E24" s="196">
        <v>1.01E-2</v>
      </c>
      <c r="F24" s="196">
        <v>1.0700000000000001E-2</v>
      </c>
      <c r="G24" s="196">
        <v>1.11E-2</v>
      </c>
      <c r="H24" s="192"/>
      <c r="I24" s="577" t="s">
        <v>169</v>
      </c>
      <c r="J24" s="577"/>
      <c r="K24" s="577"/>
      <c r="L24" s="577"/>
      <c r="M24" s="200" t="s">
        <v>170</v>
      </c>
      <c r="N24" s="203">
        <f>IF($I$11&lt;&gt;$A$58,Q14*Q13,0)</f>
        <v>0.02</v>
      </c>
      <c r="O24" s="202" t="s">
        <v>165</v>
      </c>
      <c r="P24" s="203">
        <v>0</v>
      </c>
      <c r="Q24" s="203">
        <v>2.5000000000000001E-2</v>
      </c>
      <c r="R24" s="203">
        <v>0.05</v>
      </c>
      <c r="S24" s="192"/>
    </row>
    <row r="25" spans="1:19" ht="26.25" customHeight="1" x14ac:dyDescent="0.2">
      <c r="A25" s="192" t="str">
        <f>A24</f>
        <v>Construção e Manutenção de Estações e Redes de Distribuição de Energia Elétrica</v>
      </c>
      <c r="B25" s="195" t="s">
        <v>149</v>
      </c>
      <c r="C25" s="192" t="str">
        <f t="shared" si="0"/>
        <v>Construção e Manutenção de Estações e Redes de Distribuição de Energia Elétrica-L</v>
      </c>
      <c r="D25" s="192"/>
      <c r="E25" s="196">
        <v>0.08</v>
      </c>
      <c r="F25" s="196">
        <v>8.3100000000000007E-2</v>
      </c>
      <c r="G25" s="196">
        <v>9.5100000000000004E-2</v>
      </c>
      <c r="H25" s="192"/>
      <c r="I25" s="577" t="s">
        <v>171</v>
      </c>
      <c r="J25" s="577"/>
      <c r="K25" s="577"/>
      <c r="L25" s="577"/>
      <c r="M25" s="200" t="s">
        <v>172</v>
      </c>
      <c r="N25" s="203">
        <f>IF(AND($I$11&lt;&gt;$A$58,Q11="Sim"),4.5%,0%)</f>
        <v>4.4999999999999998E-2</v>
      </c>
      <c r="O25" s="202" t="str">
        <f>IF(AND(N25&gt;=P25, N25&lt;=R25), "OK", "Não OK")</f>
        <v>OK</v>
      </c>
      <c r="P25" s="204">
        <v>0</v>
      </c>
      <c r="Q25" s="204">
        <v>4.4999999999999998E-2</v>
      </c>
      <c r="R25" s="204">
        <v>4.4999999999999998E-2</v>
      </c>
      <c r="S25" s="192"/>
    </row>
    <row r="26" spans="1:19" ht="28.5" x14ac:dyDescent="0.2">
      <c r="A26" s="192" t="str">
        <f>A25</f>
        <v>Construção e Manutenção de Estações e Redes de Distribuição de Energia Elétrica</v>
      </c>
      <c r="B26" s="199" t="s">
        <v>150</v>
      </c>
      <c r="C26" s="192" t="str">
        <f t="shared" si="0"/>
        <v>Construção e Manutenção de Estações e Redes de Distribuição de Energia Elétrica-BDI PAD</v>
      </c>
      <c r="D26" s="192"/>
      <c r="E26" s="196">
        <v>0.24</v>
      </c>
      <c r="F26" s="196">
        <v>0.25840000000000002</v>
      </c>
      <c r="G26" s="196">
        <v>0.27860000000000001</v>
      </c>
      <c r="H26" s="192"/>
      <c r="I26" s="577" t="s">
        <v>173</v>
      </c>
      <c r="J26" s="577"/>
      <c r="K26" s="577"/>
      <c r="L26" s="577"/>
      <c r="M26" s="205" t="s">
        <v>150</v>
      </c>
      <c r="N26" s="203">
        <f>IF($I$11=$A$58,0,ROUND((((1+N18+N19+N20)*(1+N21)*(1+N22)/(1-(N23+N24)))-1),4))</f>
        <v>0.20280000000000001</v>
      </c>
      <c r="O26" s="206" t="str">
        <f>IF(OR($I$11=$A$59,$I$11=$A$58,AND(N26&gt;=P26, N26&lt;=R26)), "OK", "FORA DO INTERVALO")</f>
        <v>OK</v>
      </c>
      <c r="P26" s="203">
        <f>IF($I$11=$A$58,0,VLOOKUP(CONCATENATE($I$11,"-",$M26),$C$2:$G$49,3,FALSE))</f>
        <v>0.19600000000000001</v>
      </c>
      <c r="Q26" s="203">
        <f>IF($I$11=$A$58,0,VLOOKUP(CONCATENATE($I$11,"-",$M26),$C$2:$G$49,4,FALSE))</f>
        <v>0.2097</v>
      </c>
      <c r="R26" s="203">
        <f>IF($I$11=$A$58,0,VLOOKUP(CONCATENATE($I$11,"-",$M26),$C$2:$G$49,5,FALSE))</f>
        <v>0.24230000000000002</v>
      </c>
      <c r="S26" s="192"/>
    </row>
    <row r="27" spans="1:19" ht="30" x14ac:dyDescent="0.2">
      <c r="A27" s="192" t="s">
        <v>174</v>
      </c>
      <c r="B27" s="195" t="s">
        <v>143</v>
      </c>
      <c r="C27" s="192" t="str">
        <f t="shared" si="0"/>
        <v>Obras Portuárias, Marítimas e Fluviais-AC</v>
      </c>
      <c r="D27" s="192"/>
      <c r="E27" s="196">
        <v>0.04</v>
      </c>
      <c r="F27" s="196">
        <v>5.5199999999999999E-2</v>
      </c>
      <c r="G27" s="196">
        <v>7.85E-2</v>
      </c>
      <c r="H27" s="192"/>
      <c r="I27" s="579" t="s">
        <v>175</v>
      </c>
      <c r="J27" s="579"/>
      <c r="K27" s="579"/>
      <c r="L27" s="579"/>
      <c r="M27" s="207" t="s">
        <v>176</v>
      </c>
      <c r="N27" s="208">
        <f>IF($I$11=$A$58,0,ROUND((((1+N18+N19+N20)*(1+N21)*(1+N22)/(1-(N23+N24+N25)))-1),4))</f>
        <v>0.2631</v>
      </c>
      <c r="O27" s="209" t="str">
        <f>IF(Q11&lt;&gt;"Sim","",O26)</f>
        <v>OK</v>
      </c>
      <c r="P27" s="580"/>
      <c r="Q27" s="580"/>
      <c r="R27" s="580"/>
      <c r="S27" s="192"/>
    </row>
    <row r="28" spans="1:19" x14ac:dyDescent="0.2">
      <c r="A28" s="192" t="str">
        <f>A27</f>
        <v>Obras Portuárias, Marítimas e Fluviais</v>
      </c>
      <c r="B28" s="195" t="s">
        <v>144</v>
      </c>
      <c r="C28" s="192" t="str">
        <f t="shared" si="0"/>
        <v>Obras Portuárias, Marítimas e Fluviais-SG</v>
      </c>
      <c r="D28" s="192"/>
      <c r="E28" s="196">
        <v>8.1000000000000013E-3</v>
      </c>
      <c r="F28" s="196">
        <v>1.2199999999999999E-2</v>
      </c>
      <c r="G28" s="196">
        <v>1.9900000000000001E-2</v>
      </c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</row>
    <row r="29" spans="1:19" ht="23.25" x14ac:dyDescent="0.2">
      <c r="A29" s="192" t="str">
        <f>A28</f>
        <v>Obras Portuárias, Marítimas e Fluviais</v>
      </c>
      <c r="B29" s="195" t="s">
        <v>145</v>
      </c>
      <c r="C29" s="192" t="str">
        <f t="shared" si="0"/>
        <v>Obras Portuárias, Marítimas e Fluviais-R</v>
      </c>
      <c r="D29" s="192"/>
      <c r="E29" s="196">
        <v>1.46E-2</v>
      </c>
      <c r="F29" s="196">
        <v>2.3199999999999998E-2</v>
      </c>
      <c r="G29" s="196">
        <v>3.1600000000000003E-2</v>
      </c>
      <c r="H29" s="192"/>
      <c r="I29" s="210" t="str">
        <f>IF(V29,"X","")</f>
        <v/>
      </c>
      <c r="J29" s="576" t="s">
        <v>177</v>
      </c>
      <c r="K29" s="576"/>
      <c r="L29" s="576"/>
      <c r="M29" s="576"/>
      <c r="N29" s="576"/>
      <c r="O29" s="576"/>
      <c r="P29" s="576"/>
      <c r="Q29" s="576"/>
      <c r="R29" s="576"/>
      <c r="S29" s="192"/>
    </row>
    <row r="30" spans="1:19" x14ac:dyDescent="0.2">
      <c r="A30" s="192"/>
      <c r="B30" s="195"/>
      <c r="C30" s="192"/>
      <c r="D30" s="192"/>
      <c r="E30" s="196"/>
      <c r="F30" s="196"/>
      <c r="G30" s="196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</row>
    <row r="31" spans="1:19" x14ac:dyDescent="0.2">
      <c r="A31" s="192"/>
      <c r="B31" s="195"/>
      <c r="C31" s="192"/>
      <c r="D31" s="192"/>
      <c r="E31" s="196"/>
      <c r="F31" s="196"/>
      <c r="G31" s="196"/>
      <c r="H31" s="192"/>
      <c r="I31" s="582" t="s">
        <v>178</v>
      </c>
      <c r="J31" s="582"/>
      <c r="K31" s="582"/>
      <c r="L31" s="582"/>
      <c r="M31" s="582"/>
      <c r="N31" s="582"/>
      <c r="O31" s="582"/>
      <c r="P31" s="582"/>
      <c r="Q31" s="582"/>
      <c r="R31" s="582"/>
      <c r="S31" s="192"/>
    </row>
    <row r="32" spans="1:19" ht="15.75" x14ac:dyDescent="0.25">
      <c r="A32" s="192" t="str">
        <f>A29</f>
        <v>Obras Portuárias, Marítimas e Fluviais</v>
      </c>
      <c r="B32" s="195" t="s">
        <v>148</v>
      </c>
      <c r="C32" s="192" t="str">
        <f t="shared" si="0"/>
        <v>Obras Portuárias, Marítimas e Fluviais-DF</v>
      </c>
      <c r="D32" s="192"/>
      <c r="E32" s="196">
        <v>9.3999999999999986E-3</v>
      </c>
      <c r="F32" s="196">
        <v>1.0200000000000001E-2</v>
      </c>
      <c r="G32" s="196">
        <v>1.3300000000000001E-2</v>
      </c>
      <c r="H32" s="192"/>
      <c r="I32" s="211"/>
      <c r="J32" s="211"/>
      <c r="K32" s="211"/>
      <c r="L32" s="583" t="str">
        <f>IF(Q11="Sim","BDI.DES =","BDI.PAD =")</f>
        <v>BDI.DES =</v>
      </c>
      <c r="M32" s="584" t="str">
        <f>IF($I$11=$A$59,"(1+K1+K2)*(1+K3)","(1+AC + S + R + G)*(1 + DF)*(1+L)")</f>
        <v>(1+AC + S + R + G)*(1 + DF)*(1+L)</v>
      </c>
      <c r="N32" s="584"/>
      <c r="O32" s="584"/>
      <c r="P32" s="585" t="s">
        <v>179</v>
      </c>
      <c r="Q32" s="211"/>
      <c r="R32" s="211"/>
      <c r="S32" s="192"/>
    </row>
    <row r="33" spans="1:19" ht="15.75" x14ac:dyDescent="0.2">
      <c r="A33" s="192" t="str">
        <f>A32</f>
        <v>Obras Portuárias, Marítimas e Fluviais</v>
      </c>
      <c r="B33" s="195" t="s">
        <v>149</v>
      </c>
      <c r="C33" s="192" t="str">
        <f t="shared" si="0"/>
        <v>Obras Portuárias, Marítimas e Fluviais-L</v>
      </c>
      <c r="D33" s="192"/>
      <c r="E33" s="196">
        <v>7.1399999999999991E-2</v>
      </c>
      <c r="F33" s="196">
        <v>8.4000000000000005E-2</v>
      </c>
      <c r="G33" s="196">
        <v>0.1043</v>
      </c>
      <c r="H33" s="192"/>
      <c r="I33" s="211"/>
      <c r="J33" s="211"/>
      <c r="K33" s="211"/>
      <c r="L33" s="583"/>
      <c r="M33" s="587" t="str">
        <f>IF(Q11="Sim","(1-CP-ISS-CRPB)","(1-CP-ISS)")</f>
        <v>(1-CP-ISS-CRPB)</v>
      </c>
      <c r="N33" s="587"/>
      <c r="O33" s="587"/>
      <c r="P33" s="586"/>
      <c r="Q33" s="211"/>
      <c r="R33" s="211"/>
      <c r="S33" s="192"/>
    </row>
    <row r="34" spans="1:19" x14ac:dyDescent="0.2">
      <c r="A34" s="192" t="str">
        <f>A33</f>
        <v>Obras Portuárias, Marítimas e Fluviais</v>
      </c>
      <c r="B34" s="199" t="s">
        <v>150</v>
      </c>
      <c r="C34" s="192" t="str">
        <f t="shared" si="0"/>
        <v>Obras Portuárias, Marítimas e Fluviais-BDI PAD</v>
      </c>
      <c r="D34" s="192"/>
      <c r="E34" s="196">
        <v>0.22800000000000001</v>
      </c>
      <c r="F34" s="196">
        <v>0.27479999999999999</v>
      </c>
      <c r="G34" s="196">
        <v>0.3095</v>
      </c>
      <c r="H34" s="19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192"/>
    </row>
    <row r="35" spans="1:19" ht="49.5" customHeight="1" x14ac:dyDescent="0.2">
      <c r="A35" s="192"/>
      <c r="B35" s="199"/>
      <c r="C35" s="192"/>
      <c r="D35" s="192"/>
      <c r="E35" s="196"/>
      <c r="F35" s="196"/>
      <c r="G35" s="196"/>
      <c r="H35" s="192"/>
      <c r="I35" s="588" t="str">
        <f>CONCATENATE("Declaro para os devidos fins que, conforme legislação tributária municipal, a base de cálculo para ",I11,", é de ",Q13*100,"%, com a respectiva alíquota de ",Q14*100,"%.")</f>
        <v>Declaro para os devidos fins que, conforme legislação tributária municipal, a base de cálculo para Construção de Praças Urbanas, Rodovias, Ferrovias e recapeamento e pavimentação de vias urbanas, é de 100%, com a respectiva alíquota de 2%.</v>
      </c>
      <c r="J35" s="588"/>
      <c r="K35" s="588"/>
      <c r="L35" s="588"/>
      <c r="M35" s="588"/>
      <c r="N35" s="588"/>
      <c r="O35" s="588"/>
      <c r="P35" s="588"/>
      <c r="Q35" s="588"/>
      <c r="R35" s="588"/>
      <c r="S35" s="192"/>
    </row>
    <row r="36" spans="1:19" x14ac:dyDescent="0.2">
      <c r="A36" s="192"/>
      <c r="B36" s="199"/>
      <c r="C36" s="192"/>
      <c r="D36" s="192"/>
      <c r="E36" s="196"/>
      <c r="F36" s="196"/>
      <c r="G36" s="196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</row>
    <row r="37" spans="1:19" ht="47.25" customHeight="1" x14ac:dyDescent="0.2">
      <c r="A37" s="192"/>
      <c r="B37" s="199"/>
      <c r="C37" s="192"/>
      <c r="D37" s="192"/>
      <c r="E37" s="196"/>
      <c r="F37" s="196"/>
      <c r="G37" s="196"/>
      <c r="H37" s="192"/>
      <c r="I37" s="588" t="str">
        <f>CONCATENATE("Declaro para os devidos fins que o regime de Contribuição Previdenciária sobre a Receita Bruta adotado para elaboração do orçamento foi ",IF(Q11="Sim","COM","SEM")," Desoneração, e que esta é a alternativa mais adequada para a Administração Pública.")</f>
        <v>Declaro para os devidos fins que o regime de Contribuição Previdenciária sobre a Receita Bruta adotado para elaboração do orçamento foi COM Desoneração, e que esta é a alternativa mais adequada para a Administração Pública.</v>
      </c>
      <c r="J37" s="588"/>
      <c r="K37" s="588"/>
      <c r="L37" s="588"/>
      <c r="M37" s="588"/>
      <c r="N37" s="588"/>
      <c r="O37" s="588"/>
      <c r="P37" s="588"/>
      <c r="Q37" s="588"/>
      <c r="R37" s="588"/>
      <c r="S37" s="192"/>
    </row>
    <row r="38" spans="1:19" x14ac:dyDescent="0.2">
      <c r="A38" s="192" t="s">
        <v>180</v>
      </c>
      <c r="B38" s="195" t="s">
        <v>143</v>
      </c>
      <c r="C38" s="192" t="str">
        <f t="shared" si="0"/>
        <v>Fornecimento de Materiais e Equipamentos (aquisição indireta - em conjunto com licitação de obras)-AC</v>
      </c>
      <c r="D38" s="192"/>
      <c r="E38" s="196">
        <v>1.4999999999999999E-2</v>
      </c>
      <c r="F38" s="196">
        <v>3.4500000000000003E-2</v>
      </c>
      <c r="G38" s="196">
        <v>4.4900000000000002E-2</v>
      </c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</row>
    <row r="39" spans="1:19" x14ac:dyDescent="0.2">
      <c r="A39" s="192" t="str">
        <f>A38</f>
        <v>Fornecimento de Materiais e Equipamentos (aquisição indireta - em conjunto com licitação de obras)</v>
      </c>
      <c r="B39" s="195" t="s">
        <v>144</v>
      </c>
      <c r="C39" s="192" t="str">
        <f t="shared" si="0"/>
        <v>Fornecimento de Materiais e Equipamentos (aquisição indireta - em conjunto com licitação de obras)-SG</v>
      </c>
      <c r="D39" s="192"/>
      <c r="E39" s="196">
        <v>3.0000000000000001E-3</v>
      </c>
      <c r="F39" s="196">
        <v>4.7999999999999996E-3</v>
      </c>
      <c r="G39" s="196">
        <v>8.199999999999999E-3</v>
      </c>
      <c r="H39" s="192"/>
      <c r="I39" s="192" t="s">
        <v>181</v>
      </c>
      <c r="J39" s="192"/>
      <c r="K39" s="192"/>
      <c r="L39" s="192"/>
      <c r="M39" s="192"/>
      <c r="N39" s="192"/>
      <c r="O39" s="192"/>
      <c r="P39" s="192"/>
      <c r="Q39" s="192"/>
      <c r="R39" s="192"/>
      <c r="S39" s="192"/>
    </row>
    <row r="40" spans="1:19" ht="52.5" customHeight="1" x14ac:dyDescent="0.2">
      <c r="A40" s="192" t="str">
        <f>A39</f>
        <v>Fornecimento de Materiais e Equipamentos (aquisição indireta - em conjunto com licitação de obras)</v>
      </c>
      <c r="B40" s="195" t="s">
        <v>145</v>
      </c>
      <c r="C40" s="192" t="str">
        <f t="shared" si="0"/>
        <v>Fornecimento de Materiais e Equipamentos (aquisição indireta - em conjunto com licitação de obras)-R</v>
      </c>
      <c r="D40" s="192"/>
      <c r="E40" s="196">
        <v>5.6000000000000008E-3</v>
      </c>
      <c r="F40" s="196">
        <v>8.5000000000000006E-3</v>
      </c>
      <c r="G40" s="196">
        <v>8.8999999999999999E-3</v>
      </c>
      <c r="H40" s="192"/>
      <c r="I40" s="589"/>
      <c r="J40" s="590"/>
      <c r="K40" s="590"/>
      <c r="L40" s="590"/>
      <c r="M40" s="590"/>
      <c r="N40" s="590"/>
      <c r="O40" s="590"/>
      <c r="P40" s="590"/>
      <c r="Q40" s="590"/>
      <c r="R40" s="591"/>
      <c r="S40" s="192"/>
    </row>
    <row r="41" spans="1:19" x14ac:dyDescent="0.2">
      <c r="A41" s="192" t="str">
        <f>A40</f>
        <v>Fornecimento de Materiais e Equipamentos (aquisição indireta - em conjunto com licitação de obras)</v>
      </c>
      <c r="B41" s="195" t="s">
        <v>148</v>
      </c>
      <c r="C41" s="192" t="str">
        <f t="shared" si="0"/>
        <v>Fornecimento de Materiais e Equipamentos (aquisição indireta - em conjunto com licitação de obras)-DF</v>
      </c>
      <c r="D41" s="192"/>
      <c r="E41" s="196">
        <v>8.5000000000000006E-3</v>
      </c>
      <c r="F41" s="196">
        <v>8.5000000000000006E-3</v>
      </c>
      <c r="G41" s="196">
        <v>1.11E-2</v>
      </c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</row>
    <row r="42" spans="1:19" x14ac:dyDescent="0.2">
      <c r="A42" s="192" t="str">
        <f>A41</f>
        <v>Fornecimento de Materiais e Equipamentos (aquisição indireta - em conjunto com licitação de obras)</v>
      </c>
      <c r="B42" s="195" t="s">
        <v>149</v>
      </c>
      <c r="C42" s="192" t="str">
        <f t="shared" si="0"/>
        <v>Fornecimento de Materiais e Equipamentos (aquisição indireta - em conjunto com licitação de obras)-L</v>
      </c>
      <c r="D42" s="192"/>
      <c r="E42" s="196">
        <v>3.5000000000000003E-2</v>
      </c>
      <c r="F42" s="196">
        <v>5.1100000000000007E-2</v>
      </c>
      <c r="G42" s="196">
        <v>6.2199999999999998E-2</v>
      </c>
      <c r="H42" s="192"/>
      <c r="I42" s="592" t="str">
        <f>[1]PO!K45</f>
        <v>PAPAGAIOS / MG</v>
      </c>
      <c r="J42" s="592"/>
      <c r="K42" s="592"/>
      <c r="L42" s="592"/>
      <c r="M42" s="192"/>
      <c r="N42" s="192"/>
      <c r="O42" s="593">
        <f ca="1">TODAY()</f>
        <v>43090</v>
      </c>
      <c r="P42" s="593"/>
      <c r="Q42" s="593"/>
      <c r="R42" s="593"/>
      <c r="S42" s="192"/>
    </row>
    <row r="43" spans="1:19" x14ac:dyDescent="0.2">
      <c r="A43" s="192" t="str">
        <f>A42</f>
        <v>Fornecimento de Materiais e Equipamentos (aquisição indireta - em conjunto com licitação de obras)</v>
      </c>
      <c r="B43" s="199" t="s">
        <v>150</v>
      </c>
      <c r="C43" s="192" t="str">
        <f t="shared" si="0"/>
        <v>Fornecimento de Materiais e Equipamentos (aquisição indireta - em conjunto com licitação de obras)-BDI PAD</v>
      </c>
      <c r="D43" s="192"/>
      <c r="E43" s="196">
        <v>0.111</v>
      </c>
      <c r="F43" s="196">
        <v>0.14019999999999999</v>
      </c>
      <c r="G43" s="196">
        <v>0.16800000000000001</v>
      </c>
      <c r="H43" s="192"/>
      <c r="I43" s="594" t="s">
        <v>182</v>
      </c>
      <c r="J43" s="594"/>
      <c r="K43" s="594"/>
      <c r="L43" s="594"/>
      <c r="M43" s="192"/>
      <c r="N43" s="213"/>
      <c r="O43" s="214" t="s">
        <v>183</v>
      </c>
      <c r="P43" s="215"/>
      <c r="Q43" s="215"/>
      <c r="R43" s="215"/>
      <c r="S43" s="192"/>
    </row>
    <row r="44" spans="1:19" x14ac:dyDescent="0.2">
      <c r="A44" s="192" t="s">
        <v>184</v>
      </c>
      <c r="B44" s="195" t="s">
        <v>185</v>
      </c>
      <c r="C44" s="192" t="str">
        <f t="shared" si="0"/>
        <v>Estudos e Projetos, Planos e Gerenciamento e outros correlatos-K1</v>
      </c>
      <c r="D44" s="192"/>
      <c r="E44" s="196" t="s">
        <v>165</v>
      </c>
      <c r="F44" s="196" t="s">
        <v>165</v>
      </c>
      <c r="G44" s="196" t="s">
        <v>165</v>
      </c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</row>
    <row r="45" spans="1:19" ht="15" x14ac:dyDescent="0.2">
      <c r="A45" s="192" t="str">
        <f>A44</f>
        <v>Estudos e Projetos, Planos e Gerenciamento e outros correlatos</v>
      </c>
      <c r="B45" s="195" t="s">
        <v>186</v>
      </c>
      <c r="C45" s="192" t="str">
        <f t="shared" si="0"/>
        <v>Estudos e Projetos, Planos e Gerenciamento e outros correlatos-K2</v>
      </c>
      <c r="D45" s="192"/>
      <c r="E45" s="196" t="s">
        <v>165</v>
      </c>
      <c r="F45" s="196">
        <v>0.2</v>
      </c>
      <c r="G45" s="196" t="s">
        <v>165</v>
      </c>
      <c r="H45" s="192"/>
      <c r="I45" s="581"/>
      <c r="J45" s="581"/>
      <c r="K45" s="581"/>
      <c r="L45" s="581"/>
      <c r="M45" s="216"/>
      <c r="N45" s="216"/>
      <c r="O45" s="581"/>
      <c r="P45" s="581"/>
      <c r="Q45" s="581"/>
      <c r="R45" s="581"/>
      <c r="S45" s="192"/>
    </row>
    <row r="46" spans="1:19" x14ac:dyDescent="0.2">
      <c r="A46" s="192" t="str">
        <f>A45</f>
        <v>Estudos e Projetos, Planos e Gerenciamento e outros correlatos</v>
      </c>
      <c r="B46" s="195" t="s">
        <v>187</v>
      </c>
      <c r="C46" s="192" t="str">
        <f t="shared" si="0"/>
        <v>Estudos e Projetos, Planos e Gerenciamento e outros correlatos-</v>
      </c>
      <c r="D46" s="192"/>
      <c r="E46" s="196" t="s">
        <v>165</v>
      </c>
      <c r="F46" s="196" t="s">
        <v>165</v>
      </c>
      <c r="G46" s="196" t="s">
        <v>165</v>
      </c>
      <c r="H46" s="192"/>
      <c r="I46" s="596" t="s">
        <v>188</v>
      </c>
      <c r="J46" s="596"/>
      <c r="K46" s="596"/>
      <c r="L46" s="596"/>
      <c r="M46" s="217"/>
      <c r="N46" s="217"/>
      <c r="O46" s="596" t="s">
        <v>189</v>
      </c>
      <c r="P46" s="596"/>
      <c r="Q46" s="596"/>
      <c r="R46" s="596"/>
      <c r="S46" s="192"/>
    </row>
    <row r="47" spans="1:19" ht="14.25" x14ac:dyDescent="0.2">
      <c r="A47" s="192" t="str">
        <f>A46</f>
        <v>Estudos e Projetos, Planos e Gerenciamento e outros correlatos</v>
      </c>
      <c r="B47" s="195" t="s">
        <v>187</v>
      </c>
      <c r="C47" s="192" t="str">
        <f t="shared" si="0"/>
        <v>Estudos e Projetos, Planos e Gerenciamento e outros correlatos-</v>
      </c>
      <c r="D47" s="192"/>
      <c r="E47" s="196" t="s">
        <v>165</v>
      </c>
      <c r="F47" s="196" t="s">
        <v>165</v>
      </c>
      <c r="G47" s="196" t="s">
        <v>165</v>
      </c>
      <c r="H47" s="192"/>
      <c r="I47" s="218" t="s">
        <v>190</v>
      </c>
      <c r="J47" s="595" t="str">
        <f>[1]DADOS!B54</f>
        <v>IRLEY GERALDO ALVES VIEIRA</v>
      </c>
      <c r="K47" s="595"/>
      <c r="L47" s="595"/>
      <c r="M47" s="219"/>
      <c r="N47" s="219"/>
      <c r="O47" s="218" t="s">
        <v>190</v>
      </c>
      <c r="P47" s="597" t="s">
        <v>191</v>
      </c>
      <c r="Q47" s="597"/>
      <c r="R47" s="597"/>
      <c r="S47" s="192"/>
    </row>
    <row r="48" spans="1:19" ht="14.25" x14ac:dyDescent="0.2">
      <c r="A48" s="192" t="str">
        <f>A47</f>
        <v>Estudos e Projetos, Planos e Gerenciamento e outros correlatos</v>
      </c>
      <c r="B48" s="195" t="s">
        <v>192</v>
      </c>
      <c r="C48" s="192" t="str">
        <f t="shared" si="0"/>
        <v>Estudos e Projetos, Planos e Gerenciamento e outros correlatos-K3</v>
      </c>
      <c r="D48" s="192"/>
      <c r="E48" s="196" t="s">
        <v>165</v>
      </c>
      <c r="F48" s="196">
        <v>0.12</v>
      </c>
      <c r="G48" s="196" t="s">
        <v>165</v>
      </c>
      <c r="H48" s="192"/>
      <c r="I48" s="218" t="s">
        <v>193</v>
      </c>
      <c r="J48" s="595" t="str">
        <f>[1]DADOS!B55</f>
        <v>ENGENHEIRO CIVIL</v>
      </c>
      <c r="K48" s="595"/>
      <c r="L48" s="595"/>
      <c r="M48" s="219"/>
      <c r="N48" s="219"/>
      <c r="O48" s="218" t="s">
        <v>194</v>
      </c>
      <c r="P48" s="597" t="s">
        <v>195</v>
      </c>
      <c r="Q48" s="597"/>
      <c r="R48" s="597"/>
      <c r="S48" s="192"/>
    </row>
    <row r="49" spans="1:19" ht="14.25" x14ac:dyDescent="0.2">
      <c r="A49" s="192" t="str">
        <f>A48</f>
        <v>Estudos e Projetos, Planos e Gerenciamento e outros correlatos</v>
      </c>
      <c r="B49" s="199" t="s">
        <v>150</v>
      </c>
      <c r="C49" s="192" t="str">
        <f t="shared" si="0"/>
        <v>Estudos e Projetos, Planos e Gerenciamento e outros correlatos-BDI PAD</v>
      </c>
      <c r="D49" s="192"/>
      <c r="E49" s="196" t="s">
        <v>165</v>
      </c>
      <c r="F49" s="196" t="s">
        <v>165</v>
      </c>
      <c r="G49" s="196" t="s">
        <v>165</v>
      </c>
      <c r="H49" s="192"/>
      <c r="I49" s="218" t="str">
        <f>[1]DADOS!A56</f>
        <v>CREA/CAU:</v>
      </c>
      <c r="J49" s="595" t="str">
        <f>[1]DADOS!B56</f>
        <v>175.870/D</v>
      </c>
      <c r="K49" s="595"/>
      <c r="L49" s="595"/>
      <c r="M49" s="219"/>
      <c r="N49" s="219"/>
      <c r="O49" s="219"/>
      <c r="P49" s="219"/>
      <c r="Q49" s="219"/>
      <c r="R49" s="219"/>
      <c r="S49" s="192"/>
    </row>
    <row r="50" spans="1:19" x14ac:dyDescent="0.2">
      <c r="A50" s="192"/>
      <c r="B50" s="192"/>
      <c r="C50" s="192"/>
      <c r="D50" s="192"/>
      <c r="E50" s="192"/>
      <c r="F50" s="192"/>
      <c r="G50" s="192"/>
      <c r="H50" s="192"/>
      <c r="I50" s="218" t="str">
        <f>[1]DADOS!A57</f>
        <v>ART/RRT:</v>
      </c>
      <c r="J50" s="595">
        <v>4110961</v>
      </c>
      <c r="K50" s="595"/>
      <c r="L50" s="595"/>
      <c r="M50" s="192"/>
      <c r="N50" s="192"/>
      <c r="O50" s="192"/>
      <c r="P50" s="192"/>
      <c r="Q50" s="192"/>
      <c r="R50" s="192"/>
      <c r="S50" s="192"/>
    </row>
    <row r="51" spans="1:19" x14ac:dyDescent="0.2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</row>
  </sheetData>
  <mergeCells count="54">
    <mergeCell ref="J49:L49"/>
    <mergeCell ref="J50:L50"/>
    <mergeCell ref="I46:L46"/>
    <mergeCell ref="O46:R46"/>
    <mergeCell ref="J47:L47"/>
    <mergeCell ref="P47:R47"/>
    <mergeCell ref="J48:L48"/>
    <mergeCell ref="P48:R48"/>
    <mergeCell ref="I45:L45"/>
    <mergeCell ref="O45:R45"/>
    <mergeCell ref="I31:R31"/>
    <mergeCell ref="L32:L33"/>
    <mergeCell ref="M32:O32"/>
    <mergeCell ref="P32:P33"/>
    <mergeCell ref="M33:O33"/>
    <mergeCell ref="I35:R35"/>
    <mergeCell ref="I37:R37"/>
    <mergeCell ref="I40:R40"/>
    <mergeCell ref="I42:L42"/>
    <mergeCell ref="O42:R42"/>
    <mergeCell ref="I43:L43"/>
    <mergeCell ref="J29:R29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P27:R27"/>
    <mergeCell ref="I14:P14"/>
    <mergeCell ref="Q14:R14"/>
    <mergeCell ref="I16:L17"/>
    <mergeCell ref="M16:M17"/>
    <mergeCell ref="N16:N17"/>
    <mergeCell ref="O16:O17"/>
    <mergeCell ref="P16:P17"/>
    <mergeCell ref="Q16:Q17"/>
    <mergeCell ref="R16:R17"/>
    <mergeCell ref="I10:P10"/>
    <mergeCell ref="Q10:R10"/>
    <mergeCell ref="I11:P11"/>
    <mergeCell ref="Q11:R11"/>
    <mergeCell ref="I13:P13"/>
    <mergeCell ref="Q13:R13"/>
    <mergeCell ref="I8:R8"/>
    <mergeCell ref="I4:J4"/>
    <mergeCell ref="K4:R4"/>
    <mergeCell ref="I5:J5"/>
    <mergeCell ref="K5:R5"/>
    <mergeCell ref="I7:R7"/>
  </mergeCells>
  <conditionalFormatting sqref="O42">
    <cfRule type="expression" dxfId="8" priority="3" stopIfTrue="1">
      <formula>$O$42=""</formula>
    </cfRule>
  </conditionalFormatting>
  <conditionalFormatting sqref="O18:O27">
    <cfRule type="expression" dxfId="7" priority="8" stopIfTrue="1">
      <formula>AND(O18&lt;&gt;"OK",O18&lt;&gt;"-",O18&lt;&gt;"")</formula>
    </cfRule>
    <cfRule type="cellIs" dxfId="6" priority="9" stopIfTrue="1" operator="equal">
      <formula>"OK"</formula>
    </cfRule>
  </conditionalFormatting>
  <conditionalFormatting sqref="I26:N26">
    <cfRule type="expression" dxfId="5" priority="7" stopIfTrue="1">
      <formula>$Q$11="Não"</formula>
    </cfRule>
  </conditionalFormatting>
  <conditionalFormatting sqref="I27:N27">
    <cfRule type="expression" dxfId="4" priority="6" stopIfTrue="1">
      <formula>$Q$11="sim"</formula>
    </cfRule>
  </conditionalFormatting>
  <conditionalFormatting sqref="P27:R27">
    <cfRule type="expression" dxfId="3" priority="5" stopIfTrue="1">
      <formula>$Q$11="sim"</formula>
    </cfRule>
  </conditionalFormatting>
  <conditionalFormatting sqref="P47:R48">
    <cfRule type="expression" dxfId="2" priority="4" stopIfTrue="1">
      <formula>P47=""</formula>
    </cfRule>
  </conditionalFormatting>
  <conditionalFormatting sqref="I29:R29">
    <cfRule type="expression" dxfId="1" priority="2" stopIfTrue="1">
      <formula>AND(NOT($V$27),NOT($V$29))</formula>
    </cfRule>
  </conditionalFormatting>
  <conditionalFormatting sqref="P18:R26">
    <cfRule type="expression" dxfId="0" priority="1" stopIfTrue="1">
      <formula>$I$11=$A$58</formula>
    </cfRule>
  </conditionalFormatting>
  <dataValidations count="6">
    <dataValidation type="decimal" allowBlank="1" showInputMessage="1" showErrorMessage="1" errorTitle="Erro de valores" error="Digite um valor entre 0% e 100%" sqref="N18:N2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4:R14">
      <formula1>0</formula1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3:R13">
      <formula1>0</formula1>
      <formula2>1</formula2>
    </dataValidation>
    <dataValidation type="decimal" allowBlank="1" showInputMessage="1" showErrorMessage="1" errorTitle="Erro de valores" error="Digite um valor maior do que 0." sqref="N24">
      <formula1>0</formula1>
      <formula2>1</formula2>
    </dataValidation>
    <dataValidation operator="greaterThanOrEqual" allowBlank="1" showInputMessage="1" showErrorMessage="1" errorTitle="Erro de valores" error="Digite um valor igual a 0% ou 2%." sqref="N25"/>
    <dataValidation type="list" allowBlank="1" showInputMessage="1" showErrorMessage="1" sqref="I11:P11">
      <formula1>$A$52:$A$59</formula1>
    </dataValidation>
  </dataValidations>
  <pageMargins left="0.511811024" right="0.511811024" top="0.78740157499999996" bottom="0.78740157499999996" header="0.31496062000000002" footer="0.31496062000000002"/>
  <pageSetup paperSize="9" scale="86" fitToHeight="0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U48"/>
  <sheetViews>
    <sheetView zoomScaleNormal="100" workbookViewId="0">
      <selection activeCell="F33" sqref="F33"/>
    </sheetView>
  </sheetViews>
  <sheetFormatPr defaultRowHeight="12.75" x14ac:dyDescent="0.2"/>
  <cols>
    <col min="1" max="1" width="6.85546875" bestFit="1" customWidth="1"/>
    <col min="2" max="2" width="52.42578125" customWidth="1"/>
    <col min="3" max="3" width="24.140625" customWidth="1"/>
    <col min="4" max="4" width="17.85546875" customWidth="1"/>
    <col min="5" max="5" width="18.42578125" customWidth="1"/>
    <col min="6" max="6" width="20.140625" customWidth="1"/>
    <col min="7" max="7" width="24.28515625" customWidth="1"/>
    <col min="8" max="9" width="21.42578125" customWidth="1"/>
    <col min="10" max="10" width="24.28515625" customWidth="1"/>
    <col min="11" max="11" width="21.85546875" customWidth="1"/>
    <col min="12" max="12" width="20.7109375" customWidth="1"/>
    <col min="13" max="14" width="16.42578125" customWidth="1"/>
    <col min="15" max="15" width="19.42578125" customWidth="1"/>
    <col min="16" max="16" width="16.42578125" customWidth="1"/>
    <col min="17" max="17" width="21" customWidth="1"/>
    <col min="18" max="18" width="19.7109375" style="144" customWidth="1"/>
    <col min="19" max="22" width="11.42578125" style="135" bestFit="1" customWidth="1"/>
    <col min="23" max="531" width="9.140625" style="135"/>
    <col min="532" max="619" width="9.140625" style="143"/>
  </cols>
  <sheetData>
    <row r="1" spans="1:619" s="2" customFormat="1" ht="15" customHeight="1" x14ac:dyDescent="0.2">
      <c r="A1" s="598" t="s">
        <v>107</v>
      </c>
      <c r="B1" s="599"/>
      <c r="C1" s="599"/>
      <c r="D1" s="599"/>
      <c r="E1" s="599"/>
      <c r="F1" s="599"/>
      <c r="G1" s="599"/>
      <c r="H1" s="599"/>
      <c r="I1" s="599"/>
      <c r="J1" s="309"/>
      <c r="K1" s="309"/>
      <c r="L1" s="309"/>
      <c r="M1" s="309"/>
      <c r="N1" s="139"/>
      <c r="O1" s="140"/>
      <c r="P1" s="165"/>
      <c r="Q1" s="298"/>
      <c r="R1" s="298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34"/>
      <c r="IW1" s="134"/>
      <c r="IX1" s="134"/>
      <c r="IY1" s="134"/>
      <c r="IZ1" s="134"/>
      <c r="JA1" s="134"/>
      <c r="JB1" s="134"/>
      <c r="JC1" s="134"/>
      <c r="JD1" s="134"/>
      <c r="JE1" s="134"/>
      <c r="JF1" s="134"/>
      <c r="JG1" s="134"/>
      <c r="JH1" s="134"/>
      <c r="JI1" s="134"/>
      <c r="JJ1" s="134"/>
      <c r="JK1" s="134"/>
      <c r="JL1" s="134"/>
      <c r="JM1" s="134"/>
      <c r="JN1" s="134"/>
      <c r="JO1" s="134"/>
      <c r="JP1" s="134"/>
      <c r="JQ1" s="134"/>
      <c r="JR1" s="134"/>
      <c r="JS1" s="134"/>
      <c r="JT1" s="134"/>
      <c r="JU1" s="134"/>
      <c r="JV1" s="134"/>
      <c r="JW1" s="134"/>
      <c r="JX1" s="134"/>
      <c r="JY1" s="134"/>
      <c r="JZ1" s="134"/>
      <c r="KA1" s="134"/>
      <c r="KB1" s="134"/>
      <c r="KC1" s="134"/>
      <c r="KD1" s="134"/>
      <c r="KE1" s="134"/>
      <c r="KF1" s="134"/>
      <c r="KG1" s="134"/>
      <c r="KH1" s="134"/>
      <c r="KI1" s="134"/>
      <c r="KJ1" s="134"/>
      <c r="KK1" s="134"/>
      <c r="KL1" s="134"/>
      <c r="KM1" s="134"/>
      <c r="KN1" s="134"/>
      <c r="KO1" s="134"/>
      <c r="KP1" s="134"/>
      <c r="KQ1" s="134"/>
      <c r="KR1" s="134"/>
      <c r="KS1" s="134"/>
      <c r="KT1" s="134"/>
      <c r="KU1" s="134"/>
      <c r="KV1" s="134"/>
      <c r="KW1" s="134"/>
      <c r="KX1" s="134"/>
      <c r="KY1" s="134"/>
      <c r="KZ1" s="134"/>
      <c r="LA1" s="134"/>
      <c r="LB1" s="134"/>
      <c r="LC1" s="134"/>
      <c r="LD1" s="134"/>
      <c r="LE1" s="134"/>
      <c r="LF1" s="134"/>
      <c r="LG1" s="134"/>
      <c r="LH1" s="134"/>
      <c r="LI1" s="134"/>
      <c r="LJ1" s="134"/>
      <c r="LK1" s="134"/>
      <c r="LL1" s="134"/>
      <c r="LM1" s="134"/>
      <c r="LN1" s="134"/>
      <c r="LO1" s="134"/>
      <c r="LP1" s="134"/>
      <c r="LQ1" s="134"/>
      <c r="LR1" s="134"/>
      <c r="LS1" s="134"/>
      <c r="LT1" s="134"/>
      <c r="LU1" s="134"/>
      <c r="LV1" s="134"/>
      <c r="LW1" s="134"/>
      <c r="LX1" s="134"/>
      <c r="LY1" s="134"/>
      <c r="LZ1" s="134"/>
      <c r="MA1" s="134"/>
      <c r="MB1" s="134"/>
      <c r="MC1" s="134"/>
      <c r="MD1" s="134"/>
      <c r="ME1" s="134"/>
      <c r="MF1" s="134"/>
      <c r="MG1" s="134"/>
      <c r="MH1" s="134"/>
      <c r="MI1" s="134"/>
      <c r="MJ1" s="134"/>
      <c r="MK1" s="134"/>
      <c r="ML1" s="134"/>
      <c r="MM1" s="134"/>
      <c r="MN1" s="134"/>
      <c r="MO1" s="134"/>
      <c r="MP1" s="134"/>
      <c r="MQ1" s="134"/>
      <c r="MR1" s="134"/>
      <c r="MS1" s="134"/>
      <c r="MT1" s="134"/>
      <c r="MU1" s="134"/>
      <c r="MV1" s="134"/>
      <c r="MW1" s="134"/>
      <c r="MX1" s="134"/>
      <c r="MY1" s="134"/>
      <c r="MZ1" s="134"/>
      <c r="NA1" s="134"/>
      <c r="NB1" s="134"/>
      <c r="NC1" s="134"/>
      <c r="ND1" s="134"/>
      <c r="NE1" s="134"/>
      <c r="NF1" s="134"/>
      <c r="NG1" s="134"/>
      <c r="NH1" s="134"/>
      <c r="NI1" s="134"/>
      <c r="NJ1" s="134"/>
      <c r="NK1" s="134"/>
      <c r="NL1" s="134"/>
      <c r="NM1" s="134"/>
      <c r="NN1" s="134"/>
      <c r="NO1" s="134"/>
      <c r="NP1" s="134"/>
      <c r="NQ1" s="134"/>
      <c r="NR1" s="134"/>
      <c r="NS1" s="134"/>
      <c r="NT1" s="134"/>
      <c r="NU1" s="134"/>
      <c r="NV1" s="134"/>
      <c r="NW1" s="134"/>
      <c r="NX1" s="134"/>
      <c r="NY1" s="134"/>
      <c r="NZ1" s="134"/>
      <c r="OA1" s="134"/>
      <c r="OB1" s="134"/>
      <c r="OC1" s="134"/>
      <c r="OD1" s="134"/>
      <c r="OE1" s="134"/>
      <c r="OF1" s="134"/>
      <c r="OG1" s="134"/>
      <c r="OH1" s="134"/>
      <c r="OI1" s="134"/>
      <c r="OJ1" s="134"/>
      <c r="OK1" s="134"/>
      <c r="OL1" s="134"/>
      <c r="OM1" s="134"/>
      <c r="ON1" s="134"/>
      <c r="OO1" s="134"/>
      <c r="OP1" s="134"/>
      <c r="OQ1" s="134"/>
      <c r="OR1" s="134"/>
      <c r="OS1" s="134"/>
      <c r="OT1" s="134"/>
      <c r="OU1" s="134"/>
      <c r="OV1" s="134"/>
      <c r="OW1" s="134"/>
      <c r="OX1" s="134"/>
      <c r="OY1" s="134"/>
      <c r="OZ1" s="134"/>
      <c r="PA1" s="134"/>
      <c r="PB1" s="134"/>
      <c r="PC1" s="134"/>
      <c r="PD1" s="134"/>
      <c r="PE1" s="134"/>
      <c r="PF1" s="134"/>
      <c r="PG1" s="134"/>
      <c r="PH1" s="134"/>
      <c r="PI1" s="134"/>
      <c r="PJ1" s="134"/>
      <c r="PK1" s="134"/>
      <c r="PL1" s="134"/>
      <c r="PM1" s="134"/>
      <c r="PN1" s="134"/>
      <c r="PO1" s="134"/>
      <c r="PP1" s="134"/>
      <c r="PQ1" s="134"/>
      <c r="PR1" s="134"/>
      <c r="PS1" s="134"/>
      <c r="PT1" s="134"/>
      <c r="PU1" s="134"/>
      <c r="PV1" s="134"/>
      <c r="PW1" s="134"/>
      <c r="PX1" s="134"/>
      <c r="PY1" s="134"/>
      <c r="PZ1" s="134"/>
      <c r="QA1" s="134"/>
      <c r="QB1" s="134"/>
      <c r="QC1" s="134"/>
      <c r="QD1" s="134"/>
      <c r="QE1" s="134"/>
      <c r="QF1" s="134"/>
      <c r="QG1" s="134"/>
      <c r="QH1" s="134"/>
      <c r="QI1" s="134"/>
      <c r="QJ1" s="134"/>
      <c r="QK1" s="134"/>
      <c r="QL1" s="134"/>
      <c r="QM1" s="134"/>
      <c r="QN1" s="134"/>
      <c r="QO1" s="134"/>
      <c r="QP1" s="134"/>
      <c r="QQ1" s="134"/>
      <c r="QR1" s="134"/>
      <c r="QS1" s="134"/>
      <c r="QT1" s="134"/>
      <c r="QU1" s="134"/>
      <c r="QV1" s="134"/>
      <c r="QW1" s="134"/>
      <c r="QX1" s="134"/>
      <c r="QY1" s="134"/>
      <c r="QZ1" s="134"/>
      <c r="RA1" s="134"/>
      <c r="RB1" s="134"/>
      <c r="RC1" s="134"/>
      <c r="RD1" s="134"/>
      <c r="RE1" s="134"/>
      <c r="RF1" s="134"/>
      <c r="RG1" s="134"/>
      <c r="RH1" s="134"/>
      <c r="RI1" s="134"/>
      <c r="RJ1" s="134"/>
      <c r="RK1" s="134"/>
      <c r="RL1" s="134"/>
      <c r="RM1" s="134"/>
      <c r="RN1" s="134"/>
      <c r="RO1" s="134"/>
      <c r="RP1" s="134"/>
      <c r="RQ1" s="134"/>
      <c r="RR1" s="134"/>
      <c r="RS1" s="134"/>
      <c r="RT1" s="134"/>
      <c r="RU1" s="134"/>
      <c r="RV1" s="134"/>
      <c r="RW1" s="134"/>
      <c r="RX1" s="134"/>
      <c r="RY1" s="134"/>
      <c r="RZ1" s="134"/>
      <c r="SA1" s="134"/>
      <c r="SB1" s="134"/>
      <c r="SC1" s="134"/>
      <c r="SD1" s="134"/>
      <c r="SE1" s="134"/>
      <c r="SF1" s="134"/>
      <c r="SG1" s="134"/>
      <c r="SH1" s="134"/>
      <c r="SI1" s="134"/>
      <c r="SJ1" s="134"/>
      <c r="SK1" s="134"/>
      <c r="SL1" s="134"/>
      <c r="SM1" s="134"/>
      <c r="SN1" s="134"/>
      <c r="SO1" s="134"/>
      <c r="SP1" s="134"/>
      <c r="SQ1" s="134"/>
      <c r="SR1" s="134"/>
      <c r="SS1" s="134"/>
      <c r="ST1" s="134"/>
      <c r="SU1" s="134"/>
      <c r="SV1" s="134"/>
      <c r="SW1" s="134"/>
      <c r="SX1" s="134"/>
      <c r="SY1" s="134"/>
      <c r="SZ1" s="134"/>
      <c r="TA1" s="134"/>
      <c r="TB1" s="134"/>
      <c r="TC1" s="134"/>
      <c r="TD1" s="134"/>
      <c r="TE1" s="134"/>
      <c r="TF1" s="134"/>
      <c r="TG1" s="134"/>
      <c r="TH1" s="134"/>
      <c r="TI1" s="134"/>
      <c r="TJ1" s="134"/>
      <c r="TK1" s="134"/>
      <c r="TL1" s="142"/>
      <c r="TM1" s="142"/>
      <c r="TN1" s="142"/>
      <c r="TO1" s="142"/>
      <c r="TP1" s="142"/>
      <c r="TQ1" s="142"/>
      <c r="TR1" s="142"/>
      <c r="TS1" s="142"/>
      <c r="TT1" s="142"/>
      <c r="TU1" s="142"/>
      <c r="TV1" s="142"/>
      <c r="TW1" s="142"/>
      <c r="TX1" s="142"/>
      <c r="TY1" s="142"/>
      <c r="TZ1" s="142"/>
      <c r="UA1" s="142"/>
      <c r="UB1" s="142"/>
      <c r="UC1" s="142"/>
      <c r="UD1" s="142"/>
      <c r="UE1" s="142"/>
      <c r="UF1" s="142"/>
      <c r="UG1" s="142"/>
      <c r="UH1" s="142"/>
      <c r="UI1" s="142"/>
      <c r="UJ1" s="142"/>
      <c r="UK1" s="142"/>
      <c r="UL1" s="142"/>
      <c r="UM1" s="142"/>
      <c r="UN1" s="142"/>
      <c r="UO1" s="142"/>
      <c r="UP1" s="142"/>
      <c r="UQ1" s="142"/>
      <c r="UR1" s="142"/>
      <c r="US1" s="142"/>
      <c r="UT1" s="142"/>
      <c r="UU1" s="142"/>
      <c r="UV1" s="142"/>
      <c r="UW1" s="142"/>
      <c r="UX1" s="142"/>
      <c r="UY1" s="142"/>
      <c r="UZ1" s="142"/>
      <c r="VA1" s="142"/>
      <c r="VB1" s="142"/>
      <c r="VC1" s="142"/>
      <c r="VD1" s="142"/>
      <c r="VE1" s="142"/>
      <c r="VF1" s="142"/>
      <c r="VG1" s="142"/>
      <c r="VH1" s="142"/>
      <c r="VI1" s="142"/>
      <c r="VJ1" s="142"/>
      <c r="VK1" s="142"/>
      <c r="VL1" s="142"/>
      <c r="VM1" s="142"/>
      <c r="VN1" s="142"/>
      <c r="VO1" s="142"/>
      <c r="VP1" s="142"/>
      <c r="VQ1" s="142"/>
      <c r="VR1" s="142"/>
      <c r="VS1" s="142"/>
      <c r="VT1" s="142"/>
      <c r="VU1" s="142"/>
      <c r="VV1" s="142"/>
      <c r="VW1" s="142"/>
      <c r="VX1" s="142"/>
      <c r="VY1" s="142"/>
      <c r="VZ1" s="142"/>
      <c r="WA1" s="142"/>
      <c r="WB1" s="142"/>
      <c r="WC1" s="142"/>
      <c r="WD1" s="142"/>
      <c r="WE1" s="142"/>
      <c r="WF1" s="142"/>
      <c r="WG1" s="142"/>
      <c r="WH1" s="142"/>
      <c r="WI1" s="142"/>
      <c r="WJ1" s="142"/>
      <c r="WK1" s="142"/>
      <c r="WL1" s="142"/>
      <c r="WM1" s="142"/>
      <c r="WN1" s="142"/>
      <c r="WO1" s="142"/>
      <c r="WP1" s="142"/>
      <c r="WQ1" s="142"/>
      <c r="WR1" s="142"/>
      <c r="WS1" s="142"/>
      <c r="WT1" s="142"/>
      <c r="WU1" s="142"/>
    </row>
    <row r="2" spans="1:619" s="2" customFormat="1" ht="8.1" customHeight="1" x14ac:dyDescent="0.2">
      <c r="A2" s="14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99"/>
      <c r="R2" s="299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  <c r="IW2" s="134"/>
      <c r="IX2" s="134"/>
      <c r="IY2" s="134"/>
      <c r="IZ2" s="134"/>
      <c r="JA2" s="134"/>
      <c r="JB2" s="134"/>
      <c r="JC2" s="134"/>
      <c r="JD2" s="134"/>
      <c r="JE2" s="134"/>
      <c r="JF2" s="134"/>
      <c r="JG2" s="134"/>
      <c r="JH2" s="134"/>
      <c r="JI2" s="134"/>
      <c r="JJ2" s="134"/>
      <c r="JK2" s="134"/>
      <c r="JL2" s="134"/>
      <c r="JM2" s="134"/>
      <c r="JN2" s="134"/>
      <c r="JO2" s="134"/>
      <c r="JP2" s="134"/>
      <c r="JQ2" s="134"/>
      <c r="JR2" s="134"/>
      <c r="JS2" s="134"/>
      <c r="JT2" s="134"/>
      <c r="JU2" s="134"/>
      <c r="JV2" s="134"/>
      <c r="JW2" s="134"/>
      <c r="JX2" s="134"/>
      <c r="JY2" s="134"/>
      <c r="JZ2" s="134"/>
      <c r="KA2" s="134"/>
      <c r="KB2" s="134"/>
      <c r="KC2" s="134"/>
      <c r="KD2" s="134"/>
      <c r="KE2" s="134"/>
      <c r="KF2" s="134"/>
      <c r="KG2" s="134"/>
      <c r="KH2" s="134"/>
      <c r="KI2" s="134"/>
      <c r="KJ2" s="134"/>
      <c r="KK2" s="134"/>
      <c r="KL2" s="134"/>
      <c r="KM2" s="134"/>
      <c r="KN2" s="134"/>
      <c r="KO2" s="134"/>
      <c r="KP2" s="134"/>
      <c r="KQ2" s="134"/>
      <c r="KR2" s="134"/>
      <c r="KS2" s="134"/>
      <c r="KT2" s="134"/>
      <c r="KU2" s="134"/>
      <c r="KV2" s="134"/>
      <c r="KW2" s="134"/>
      <c r="KX2" s="134"/>
      <c r="KY2" s="134"/>
      <c r="KZ2" s="134"/>
      <c r="LA2" s="134"/>
      <c r="LB2" s="134"/>
      <c r="LC2" s="134"/>
      <c r="LD2" s="134"/>
      <c r="LE2" s="134"/>
      <c r="LF2" s="134"/>
      <c r="LG2" s="134"/>
      <c r="LH2" s="134"/>
      <c r="LI2" s="134"/>
      <c r="LJ2" s="134"/>
      <c r="LK2" s="134"/>
      <c r="LL2" s="134"/>
      <c r="LM2" s="134"/>
      <c r="LN2" s="134"/>
      <c r="LO2" s="134"/>
      <c r="LP2" s="134"/>
      <c r="LQ2" s="134"/>
      <c r="LR2" s="134"/>
      <c r="LS2" s="134"/>
      <c r="LT2" s="134"/>
      <c r="LU2" s="134"/>
      <c r="LV2" s="134"/>
      <c r="LW2" s="134"/>
      <c r="LX2" s="134"/>
      <c r="LY2" s="134"/>
      <c r="LZ2" s="134"/>
      <c r="MA2" s="134"/>
      <c r="MB2" s="134"/>
      <c r="MC2" s="134"/>
      <c r="MD2" s="134"/>
      <c r="ME2" s="134"/>
      <c r="MF2" s="134"/>
      <c r="MG2" s="134"/>
      <c r="MH2" s="134"/>
      <c r="MI2" s="134"/>
      <c r="MJ2" s="134"/>
      <c r="MK2" s="134"/>
      <c r="ML2" s="134"/>
      <c r="MM2" s="134"/>
      <c r="MN2" s="134"/>
      <c r="MO2" s="134"/>
      <c r="MP2" s="134"/>
      <c r="MQ2" s="134"/>
      <c r="MR2" s="134"/>
      <c r="MS2" s="134"/>
      <c r="MT2" s="134"/>
      <c r="MU2" s="134"/>
      <c r="MV2" s="134"/>
      <c r="MW2" s="134"/>
      <c r="MX2" s="134"/>
      <c r="MY2" s="134"/>
      <c r="MZ2" s="134"/>
      <c r="NA2" s="134"/>
      <c r="NB2" s="134"/>
      <c r="NC2" s="134"/>
      <c r="ND2" s="134"/>
      <c r="NE2" s="134"/>
      <c r="NF2" s="134"/>
      <c r="NG2" s="134"/>
      <c r="NH2" s="134"/>
      <c r="NI2" s="134"/>
      <c r="NJ2" s="134"/>
      <c r="NK2" s="134"/>
      <c r="NL2" s="134"/>
      <c r="NM2" s="134"/>
      <c r="NN2" s="134"/>
      <c r="NO2" s="134"/>
      <c r="NP2" s="134"/>
      <c r="NQ2" s="134"/>
      <c r="NR2" s="134"/>
      <c r="NS2" s="134"/>
      <c r="NT2" s="134"/>
      <c r="NU2" s="134"/>
      <c r="NV2" s="134"/>
      <c r="NW2" s="134"/>
      <c r="NX2" s="134"/>
      <c r="NY2" s="134"/>
      <c r="NZ2" s="134"/>
      <c r="OA2" s="134"/>
      <c r="OB2" s="134"/>
      <c r="OC2" s="134"/>
      <c r="OD2" s="134"/>
      <c r="OE2" s="134"/>
      <c r="OF2" s="134"/>
      <c r="OG2" s="134"/>
      <c r="OH2" s="134"/>
      <c r="OI2" s="134"/>
      <c r="OJ2" s="134"/>
      <c r="OK2" s="134"/>
      <c r="OL2" s="134"/>
      <c r="OM2" s="134"/>
      <c r="ON2" s="134"/>
      <c r="OO2" s="134"/>
      <c r="OP2" s="134"/>
      <c r="OQ2" s="134"/>
      <c r="OR2" s="134"/>
      <c r="OS2" s="134"/>
      <c r="OT2" s="134"/>
      <c r="OU2" s="134"/>
      <c r="OV2" s="134"/>
      <c r="OW2" s="134"/>
      <c r="OX2" s="134"/>
      <c r="OY2" s="134"/>
      <c r="OZ2" s="134"/>
      <c r="PA2" s="134"/>
      <c r="PB2" s="134"/>
      <c r="PC2" s="134"/>
      <c r="PD2" s="134"/>
      <c r="PE2" s="134"/>
      <c r="PF2" s="134"/>
      <c r="PG2" s="134"/>
      <c r="PH2" s="134"/>
      <c r="PI2" s="134"/>
      <c r="PJ2" s="134"/>
      <c r="PK2" s="134"/>
      <c r="PL2" s="134"/>
      <c r="PM2" s="134"/>
      <c r="PN2" s="134"/>
      <c r="PO2" s="134"/>
      <c r="PP2" s="134"/>
      <c r="PQ2" s="134"/>
      <c r="PR2" s="134"/>
      <c r="PS2" s="134"/>
      <c r="PT2" s="134"/>
      <c r="PU2" s="134"/>
      <c r="PV2" s="134"/>
      <c r="PW2" s="134"/>
      <c r="PX2" s="134"/>
      <c r="PY2" s="134"/>
      <c r="PZ2" s="134"/>
      <c r="QA2" s="134"/>
      <c r="QB2" s="134"/>
      <c r="QC2" s="134"/>
      <c r="QD2" s="134"/>
      <c r="QE2" s="134"/>
      <c r="QF2" s="134"/>
      <c r="QG2" s="134"/>
      <c r="QH2" s="134"/>
      <c r="QI2" s="134"/>
      <c r="QJ2" s="134"/>
      <c r="QK2" s="134"/>
      <c r="QL2" s="134"/>
      <c r="QM2" s="134"/>
      <c r="QN2" s="134"/>
      <c r="QO2" s="134"/>
      <c r="QP2" s="134"/>
      <c r="QQ2" s="134"/>
      <c r="QR2" s="134"/>
      <c r="QS2" s="134"/>
      <c r="QT2" s="134"/>
      <c r="QU2" s="134"/>
      <c r="QV2" s="134"/>
      <c r="QW2" s="134"/>
      <c r="QX2" s="134"/>
      <c r="QY2" s="134"/>
      <c r="QZ2" s="134"/>
      <c r="RA2" s="134"/>
      <c r="RB2" s="134"/>
      <c r="RC2" s="134"/>
      <c r="RD2" s="134"/>
      <c r="RE2" s="134"/>
      <c r="RF2" s="134"/>
      <c r="RG2" s="134"/>
      <c r="RH2" s="134"/>
      <c r="RI2" s="134"/>
      <c r="RJ2" s="134"/>
      <c r="RK2" s="134"/>
      <c r="RL2" s="134"/>
      <c r="RM2" s="134"/>
      <c r="RN2" s="134"/>
      <c r="RO2" s="134"/>
      <c r="RP2" s="134"/>
      <c r="RQ2" s="134"/>
      <c r="RR2" s="134"/>
      <c r="RS2" s="134"/>
      <c r="RT2" s="134"/>
      <c r="RU2" s="134"/>
      <c r="RV2" s="134"/>
      <c r="RW2" s="134"/>
      <c r="RX2" s="134"/>
      <c r="RY2" s="134"/>
      <c r="RZ2" s="134"/>
      <c r="SA2" s="134"/>
      <c r="SB2" s="134"/>
      <c r="SC2" s="134"/>
      <c r="SD2" s="134"/>
      <c r="SE2" s="134"/>
      <c r="SF2" s="134"/>
      <c r="SG2" s="134"/>
      <c r="SH2" s="134"/>
      <c r="SI2" s="134"/>
      <c r="SJ2" s="134"/>
      <c r="SK2" s="134"/>
      <c r="SL2" s="134"/>
      <c r="SM2" s="134"/>
      <c r="SN2" s="134"/>
      <c r="SO2" s="134"/>
      <c r="SP2" s="134"/>
      <c r="SQ2" s="134"/>
      <c r="SR2" s="134"/>
      <c r="SS2" s="134"/>
      <c r="ST2" s="134"/>
      <c r="SU2" s="134"/>
      <c r="SV2" s="134"/>
      <c r="SW2" s="134"/>
      <c r="SX2" s="134"/>
      <c r="SY2" s="134"/>
      <c r="SZ2" s="134"/>
      <c r="TA2" s="134"/>
      <c r="TB2" s="134"/>
      <c r="TC2" s="134"/>
      <c r="TD2" s="134"/>
      <c r="TE2" s="134"/>
      <c r="TF2" s="134"/>
      <c r="TG2" s="134"/>
      <c r="TH2" s="134"/>
      <c r="TI2" s="134"/>
      <c r="TJ2" s="134"/>
      <c r="TK2" s="134"/>
      <c r="TL2" s="142"/>
      <c r="TM2" s="142"/>
      <c r="TN2" s="142"/>
      <c r="TO2" s="142"/>
      <c r="TP2" s="142"/>
      <c r="TQ2" s="142"/>
      <c r="TR2" s="142"/>
      <c r="TS2" s="142"/>
      <c r="TT2" s="142"/>
      <c r="TU2" s="142"/>
      <c r="TV2" s="142"/>
      <c r="TW2" s="142"/>
      <c r="TX2" s="142"/>
      <c r="TY2" s="142"/>
      <c r="TZ2" s="142"/>
      <c r="UA2" s="142"/>
      <c r="UB2" s="142"/>
      <c r="UC2" s="142"/>
      <c r="UD2" s="142"/>
      <c r="UE2" s="142"/>
      <c r="UF2" s="142"/>
      <c r="UG2" s="142"/>
      <c r="UH2" s="142"/>
      <c r="UI2" s="142"/>
      <c r="UJ2" s="142"/>
      <c r="UK2" s="142"/>
      <c r="UL2" s="142"/>
      <c r="UM2" s="142"/>
      <c r="UN2" s="142"/>
      <c r="UO2" s="142"/>
      <c r="UP2" s="142"/>
      <c r="UQ2" s="142"/>
      <c r="UR2" s="142"/>
      <c r="US2" s="142"/>
      <c r="UT2" s="142"/>
      <c r="UU2" s="142"/>
      <c r="UV2" s="142"/>
      <c r="UW2" s="142"/>
      <c r="UX2" s="142"/>
      <c r="UY2" s="142"/>
      <c r="UZ2" s="142"/>
      <c r="VA2" s="142"/>
      <c r="VB2" s="142"/>
      <c r="VC2" s="142"/>
      <c r="VD2" s="142"/>
      <c r="VE2" s="142"/>
      <c r="VF2" s="142"/>
      <c r="VG2" s="142"/>
      <c r="VH2" s="142"/>
      <c r="VI2" s="142"/>
      <c r="VJ2" s="142"/>
      <c r="VK2" s="142"/>
      <c r="VL2" s="142"/>
      <c r="VM2" s="142"/>
      <c r="VN2" s="142"/>
      <c r="VO2" s="142"/>
      <c r="VP2" s="142"/>
      <c r="VQ2" s="142"/>
      <c r="VR2" s="142"/>
      <c r="VS2" s="142"/>
      <c r="VT2" s="142"/>
      <c r="VU2" s="142"/>
      <c r="VV2" s="142"/>
      <c r="VW2" s="142"/>
      <c r="VX2" s="142"/>
      <c r="VY2" s="142"/>
      <c r="VZ2" s="142"/>
      <c r="WA2" s="142"/>
      <c r="WB2" s="142"/>
      <c r="WC2" s="142"/>
      <c r="WD2" s="142"/>
      <c r="WE2" s="142"/>
      <c r="WF2" s="142"/>
      <c r="WG2" s="142"/>
      <c r="WH2" s="142"/>
      <c r="WI2" s="142"/>
      <c r="WJ2" s="142"/>
      <c r="WK2" s="142"/>
      <c r="WL2" s="142"/>
      <c r="WM2" s="142"/>
      <c r="WN2" s="142"/>
      <c r="WO2" s="142"/>
      <c r="WP2" s="142"/>
      <c r="WQ2" s="142"/>
      <c r="WR2" s="142"/>
      <c r="WS2" s="142"/>
      <c r="WT2" s="142"/>
      <c r="WU2" s="142"/>
    </row>
    <row r="3" spans="1:619" s="2" customFormat="1" ht="25.5" customHeight="1" x14ac:dyDescent="0.2">
      <c r="A3" s="7"/>
      <c r="B3" s="551" t="s">
        <v>103</v>
      </c>
      <c r="C3" s="551"/>
      <c r="D3" s="551"/>
      <c r="E3" s="551"/>
      <c r="F3" s="136"/>
      <c r="G3" s="8"/>
      <c r="H3" s="8"/>
      <c r="I3" s="8"/>
      <c r="J3" s="8"/>
      <c r="K3" s="8"/>
      <c r="L3" s="8"/>
      <c r="M3" s="8" t="s">
        <v>229</v>
      </c>
      <c r="N3" s="8"/>
      <c r="O3" s="8"/>
      <c r="P3" s="8"/>
      <c r="Q3" s="300"/>
      <c r="R3" s="300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  <c r="NC3" s="134"/>
      <c r="ND3" s="134"/>
      <c r="NE3" s="134"/>
      <c r="NF3" s="134"/>
      <c r="NG3" s="134"/>
      <c r="NH3" s="134"/>
      <c r="NI3" s="134"/>
      <c r="NJ3" s="134"/>
      <c r="NK3" s="134"/>
      <c r="NL3" s="134"/>
      <c r="NM3" s="134"/>
      <c r="NN3" s="134"/>
      <c r="NO3" s="134"/>
      <c r="NP3" s="134"/>
      <c r="NQ3" s="134"/>
      <c r="NR3" s="134"/>
      <c r="NS3" s="134"/>
      <c r="NT3" s="134"/>
      <c r="NU3" s="134"/>
      <c r="NV3" s="134"/>
      <c r="NW3" s="134"/>
      <c r="NX3" s="134"/>
      <c r="NY3" s="134"/>
      <c r="NZ3" s="134"/>
      <c r="OA3" s="134"/>
      <c r="OB3" s="134"/>
      <c r="OC3" s="134"/>
      <c r="OD3" s="134"/>
      <c r="OE3" s="134"/>
      <c r="OF3" s="134"/>
      <c r="OG3" s="134"/>
      <c r="OH3" s="134"/>
      <c r="OI3" s="134"/>
      <c r="OJ3" s="134"/>
      <c r="OK3" s="134"/>
      <c r="OL3" s="134"/>
      <c r="OM3" s="134"/>
      <c r="ON3" s="134"/>
      <c r="OO3" s="134"/>
      <c r="OP3" s="134"/>
      <c r="OQ3" s="134"/>
      <c r="OR3" s="134"/>
      <c r="OS3" s="134"/>
      <c r="OT3" s="134"/>
      <c r="OU3" s="134"/>
      <c r="OV3" s="134"/>
      <c r="OW3" s="134"/>
      <c r="OX3" s="134"/>
      <c r="OY3" s="134"/>
      <c r="OZ3" s="134"/>
      <c r="PA3" s="134"/>
      <c r="PB3" s="134"/>
      <c r="PC3" s="134"/>
      <c r="PD3" s="134"/>
      <c r="PE3" s="134"/>
      <c r="PF3" s="134"/>
      <c r="PG3" s="134"/>
      <c r="PH3" s="134"/>
      <c r="PI3" s="134"/>
      <c r="PJ3" s="134"/>
      <c r="PK3" s="134"/>
      <c r="PL3" s="134"/>
      <c r="PM3" s="134"/>
      <c r="PN3" s="134"/>
      <c r="PO3" s="134"/>
      <c r="PP3" s="134"/>
      <c r="PQ3" s="134"/>
      <c r="PR3" s="134"/>
      <c r="PS3" s="134"/>
      <c r="PT3" s="134"/>
      <c r="PU3" s="134"/>
      <c r="PV3" s="134"/>
      <c r="PW3" s="134"/>
      <c r="PX3" s="134"/>
      <c r="PY3" s="134"/>
      <c r="PZ3" s="134"/>
      <c r="QA3" s="134"/>
      <c r="QB3" s="134"/>
      <c r="QC3" s="134"/>
      <c r="QD3" s="134"/>
      <c r="QE3" s="134"/>
      <c r="QF3" s="134"/>
      <c r="QG3" s="134"/>
      <c r="QH3" s="134"/>
      <c r="QI3" s="134"/>
      <c r="QJ3" s="134"/>
      <c r="QK3" s="134"/>
      <c r="QL3" s="134"/>
      <c r="QM3" s="134"/>
      <c r="QN3" s="134"/>
      <c r="QO3" s="134"/>
      <c r="QP3" s="134"/>
      <c r="QQ3" s="134"/>
      <c r="QR3" s="134"/>
      <c r="QS3" s="134"/>
      <c r="QT3" s="134"/>
      <c r="QU3" s="134"/>
      <c r="QV3" s="134"/>
      <c r="QW3" s="134"/>
      <c r="QX3" s="134"/>
      <c r="QY3" s="134"/>
      <c r="QZ3" s="134"/>
      <c r="RA3" s="134"/>
      <c r="RB3" s="134"/>
      <c r="RC3" s="134"/>
      <c r="RD3" s="134"/>
      <c r="RE3" s="134"/>
      <c r="RF3" s="134"/>
      <c r="RG3" s="134"/>
      <c r="RH3" s="134"/>
      <c r="RI3" s="134"/>
      <c r="RJ3" s="134"/>
      <c r="RK3" s="134"/>
      <c r="RL3" s="134"/>
      <c r="RM3" s="134"/>
      <c r="RN3" s="134"/>
      <c r="RO3" s="134"/>
      <c r="RP3" s="134"/>
      <c r="RQ3" s="134"/>
      <c r="RR3" s="134"/>
      <c r="RS3" s="134"/>
      <c r="RT3" s="134"/>
      <c r="RU3" s="134"/>
      <c r="RV3" s="134"/>
      <c r="RW3" s="134"/>
      <c r="RX3" s="134"/>
      <c r="RY3" s="134"/>
      <c r="RZ3" s="134"/>
      <c r="SA3" s="134"/>
      <c r="SB3" s="134"/>
      <c r="SC3" s="134"/>
      <c r="SD3" s="134"/>
      <c r="SE3" s="134"/>
      <c r="SF3" s="134"/>
      <c r="SG3" s="134"/>
      <c r="SH3" s="134"/>
      <c r="SI3" s="134"/>
      <c r="SJ3" s="134"/>
      <c r="SK3" s="134"/>
      <c r="SL3" s="134"/>
      <c r="SM3" s="134"/>
      <c r="SN3" s="134"/>
      <c r="SO3" s="134"/>
      <c r="SP3" s="134"/>
      <c r="SQ3" s="134"/>
      <c r="SR3" s="134"/>
      <c r="SS3" s="134"/>
      <c r="ST3" s="134"/>
      <c r="SU3" s="134"/>
      <c r="SV3" s="134"/>
      <c r="SW3" s="134"/>
      <c r="SX3" s="134"/>
      <c r="SY3" s="134"/>
      <c r="SZ3" s="134"/>
      <c r="TA3" s="134"/>
      <c r="TB3" s="134"/>
      <c r="TC3" s="134"/>
      <c r="TD3" s="134"/>
      <c r="TE3" s="134"/>
      <c r="TF3" s="134"/>
      <c r="TG3" s="134"/>
      <c r="TH3" s="134"/>
      <c r="TI3" s="134"/>
      <c r="TJ3" s="134"/>
      <c r="TK3" s="134"/>
      <c r="TL3" s="142"/>
      <c r="TM3" s="142"/>
      <c r="TN3" s="142"/>
      <c r="TO3" s="142"/>
      <c r="TP3" s="142"/>
      <c r="TQ3" s="142"/>
      <c r="TR3" s="142"/>
      <c r="TS3" s="142"/>
      <c r="TT3" s="142"/>
      <c r="TU3" s="142"/>
      <c r="TV3" s="142"/>
      <c r="TW3" s="142"/>
      <c r="TX3" s="142"/>
      <c r="TY3" s="142"/>
      <c r="TZ3" s="142"/>
      <c r="UA3" s="142"/>
      <c r="UB3" s="142"/>
      <c r="UC3" s="142"/>
      <c r="UD3" s="142"/>
      <c r="UE3" s="142"/>
      <c r="UF3" s="142"/>
      <c r="UG3" s="142"/>
      <c r="UH3" s="142"/>
      <c r="UI3" s="142"/>
      <c r="UJ3" s="142"/>
      <c r="UK3" s="142"/>
      <c r="UL3" s="142"/>
      <c r="UM3" s="142"/>
      <c r="UN3" s="142"/>
      <c r="UO3" s="142"/>
      <c r="UP3" s="142"/>
      <c r="UQ3" s="142"/>
      <c r="UR3" s="142"/>
      <c r="US3" s="142"/>
      <c r="UT3" s="142"/>
      <c r="UU3" s="142"/>
      <c r="UV3" s="142"/>
      <c r="UW3" s="142"/>
      <c r="UX3" s="142"/>
      <c r="UY3" s="142"/>
      <c r="UZ3" s="142"/>
      <c r="VA3" s="142"/>
      <c r="VB3" s="142"/>
      <c r="VC3" s="142"/>
      <c r="VD3" s="142"/>
      <c r="VE3" s="142"/>
      <c r="VF3" s="142"/>
      <c r="VG3" s="142"/>
      <c r="VH3" s="142"/>
      <c r="VI3" s="142"/>
      <c r="VJ3" s="142"/>
      <c r="VK3" s="142"/>
      <c r="VL3" s="142"/>
      <c r="VM3" s="142"/>
      <c r="VN3" s="142"/>
      <c r="VO3" s="142"/>
      <c r="VP3" s="142"/>
      <c r="VQ3" s="142"/>
      <c r="VR3" s="142"/>
      <c r="VS3" s="142"/>
      <c r="VT3" s="142"/>
      <c r="VU3" s="142"/>
      <c r="VV3" s="142"/>
      <c r="VW3" s="142"/>
      <c r="VX3" s="142"/>
      <c r="VY3" s="142"/>
      <c r="VZ3" s="142"/>
      <c r="WA3" s="142"/>
      <c r="WB3" s="142"/>
      <c r="WC3" s="142"/>
      <c r="WD3" s="142"/>
      <c r="WE3" s="142"/>
      <c r="WF3" s="142"/>
      <c r="WG3" s="142"/>
      <c r="WH3" s="142"/>
      <c r="WI3" s="142"/>
      <c r="WJ3" s="142"/>
      <c r="WK3" s="142"/>
      <c r="WL3" s="142"/>
      <c r="WM3" s="142"/>
      <c r="WN3" s="142"/>
      <c r="WO3" s="142"/>
      <c r="WP3" s="142"/>
      <c r="WQ3" s="142"/>
      <c r="WR3" s="142"/>
      <c r="WS3" s="142"/>
      <c r="WT3" s="142"/>
      <c r="WU3" s="142"/>
    </row>
    <row r="4" spans="1:619" s="2" customFormat="1" ht="8.1" customHeight="1" x14ac:dyDescent="0.2">
      <c r="A4" s="7"/>
      <c r="B4" s="6"/>
      <c r="C4" s="6"/>
      <c r="D4" s="6"/>
      <c r="E4" s="6"/>
      <c r="F4" s="6"/>
      <c r="G4" s="8"/>
      <c r="H4" s="8"/>
      <c r="I4" s="8"/>
      <c r="J4" s="8"/>
      <c r="K4" s="8"/>
      <c r="L4" s="8"/>
      <c r="M4" s="8"/>
      <c r="N4" s="8"/>
      <c r="O4" s="8"/>
      <c r="P4" s="8"/>
      <c r="Q4" s="300"/>
      <c r="R4" s="300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  <c r="IW4" s="134"/>
      <c r="IX4" s="134"/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134"/>
      <c r="JQ4" s="134"/>
      <c r="JR4" s="134"/>
      <c r="JS4" s="134"/>
      <c r="JT4" s="134"/>
      <c r="JU4" s="134"/>
      <c r="JV4" s="134"/>
      <c r="JW4" s="134"/>
      <c r="JX4" s="134"/>
      <c r="JY4" s="134"/>
      <c r="JZ4" s="134"/>
      <c r="KA4" s="134"/>
      <c r="KB4" s="134"/>
      <c r="KC4" s="134"/>
      <c r="KD4" s="134"/>
      <c r="KE4" s="134"/>
      <c r="KF4" s="134"/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  <c r="LB4" s="134"/>
      <c r="LC4" s="134"/>
      <c r="LD4" s="134"/>
      <c r="LE4" s="134"/>
      <c r="LF4" s="134"/>
      <c r="LG4" s="134"/>
      <c r="LH4" s="134"/>
      <c r="LI4" s="134"/>
      <c r="LJ4" s="134"/>
      <c r="LK4" s="134"/>
      <c r="LL4" s="134"/>
      <c r="LM4" s="134"/>
      <c r="LN4" s="134"/>
      <c r="LO4" s="134"/>
      <c r="LP4" s="134"/>
      <c r="LQ4" s="134"/>
      <c r="LR4" s="134"/>
      <c r="LS4" s="134"/>
      <c r="LT4" s="134"/>
      <c r="LU4" s="134"/>
      <c r="LV4" s="134"/>
      <c r="LW4" s="134"/>
      <c r="LX4" s="134"/>
      <c r="LY4" s="134"/>
      <c r="LZ4" s="134"/>
      <c r="MA4" s="134"/>
      <c r="MB4" s="134"/>
      <c r="MC4" s="134"/>
      <c r="MD4" s="134"/>
      <c r="ME4" s="134"/>
      <c r="MF4" s="134"/>
      <c r="MG4" s="134"/>
      <c r="MH4" s="134"/>
      <c r="MI4" s="134"/>
      <c r="MJ4" s="134"/>
      <c r="MK4" s="134"/>
      <c r="ML4" s="134"/>
      <c r="MM4" s="134"/>
      <c r="MN4" s="134"/>
      <c r="MO4" s="134"/>
      <c r="MP4" s="134"/>
      <c r="MQ4" s="134"/>
      <c r="MR4" s="134"/>
      <c r="MS4" s="134"/>
      <c r="MT4" s="134"/>
      <c r="MU4" s="134"/>
      <c r="MV4" s="134"/>
      <c r="MW4" s="134"/>
      <c r="MX4" s="134"/>
      <c r="MY4" s="134"/>
      <c r="MZ4" s="134"/>
      <c r="NA4" s="134"/>
      <c r="NB4" s="134"/>
      <c r="NC4" s="134"/>
      <c r="ND4" s="134"/>
      <c r="NE4" s="134"/>
      <c r="NF4" s="134"/>
      <c r="NG4" s="134"/>
      <c r="NH4" s="134"/>
      <c r="NI4" s="134"/>
      <c r="NJ4" s="134"/>
      <c r="NK4" s="134"/>
      <c r="NL4" s="134"/>
      <c r="NM4" s="134"/>
      <c r="NN4" s="134"/>
      <c r="NO4" s="134"/>
      <c r="NP4" s="134"/>
      <c r="NQ4" s="134"/>
      <c r="NR4" s="134"/>
      <c r="NS4" s="134"/>
      <c r="NT4" s="134"/>
      <c r="NU4" s="134"/>
      <c r="NV4" s="134"/>
      <c r="NW4" s="134"/>
      <c r="NX4" s="134"/>
      <c r="NY4" s="134"/>
      <c r="NZ4" s="134"/>
      <c r="OA4" s="134"/>
      <c r="OB4" s="134"/>
      <c r="OC4" s="134"/>
      <c r="OD4" s="134"/>
      <c r="OE4" s="134"/>
      <c r="OF4" s="134"/>
      <c r="OG4" s="134"/>
      <c r="OH4" s="134"/>
      <c r="OI4" s="134"/>
      <c r="OJ4" s="134"/>
      <c r="OK4" s="134"/>
      <c r="OL4" s="134"/>
      <c r="OM4" s="134"/>
      <c r="ON4" s="134"/>
      <c r="OO4" s="134"/>
      <c r="OP4" s="134"/>
      <c r="OQ4" s="134"/>
      <c r="OR4" s="134"/>
      <c r="OS4" s="134"/>
      <c r="OT4" s="134"/>
      <c r="OU4" s="134"/>
      <c r="OV4" s="134"/>
      <c r="OW4" s="134"/>
      <c r="OX4" s="134"/>
      <c r="OY4" s="134"/>
      <c r="OZ4" s="134"/>
      <c r="PA4" s="134"/>
      <c r="PB4" s="134"/>
      <c r="PC4" s="134"/>
      <c r="PD4" s="134"/>
      <c r="PE4" s="134"/>
      <c r="PF4" s="134"/>
      <c r="PG4" s="134"/>
      <c r="PH4" s="134"/>
      <c r="PI4" s="134"/>
      <c r="PJ4" s="134"/>
      <c r="PK4" s="134"/>
      <c r="PL4" s="134"/>
      <c r="PM4" s="134"/>
      <c r="PN4" s="134"/>
      <c r="PO4" s="134"/>
      <c r="PP4" s="134"/>
      <c r="PQ4" s="134"/>
      <c r="PR4" s="134"/>
      <c r="PS4" s="134"/>
      <c r="PT4" s="134"/>
      <c r="PU4" s="134"/>
      <c r="PV4" s="134"/>
      <c r="PW4" s="134"/>
      <c r="PX4" s="134"/>
      <c r="PY4" s="134"/>
      <c r="PZ4" s="134"/>
      <c r="QA4" s="134"/>
      <c r="QB4" s="134"/>
      <c r="QC4" s="134"/>
      <c r="QD4" s="134"/>
      <c r="QE4" s="134"/>
      <c r="QF4" s="134"/>
      <c r="QG4" s="134"/>
      <c r="QH4" s="134"/>
      <c r="QI4" s="134"/>
      <c r="QJ4" s="134"/>
      <c r="QK4" s="134"/>
      <c r="QL4" s="134"/>
      <c r="QM4" s="134"/>
      <c r="QN4" s="134"/>
      <c r="QO4" s="134"/>
      <c r="QP4" s="134"/>
      <c r="QQ4" s="134"/>
      <c r="QR4" s="134"/>
      <c r="QS4" s="134"/>
      <c r="QT4" s="134"/>
      <c r="QU4" s="134"/>
      <c r="QV4" s="134"/>
      <c r="QW4" s="134"/>
      <c r="QX4" s="134"/>
      <c r="QY4" s="134"/>
      <c r="QZ4" s="134"/>
      <c r="RA4" s="134"/>
      <c r="RB4" s="134"/>
      <c r="RC4" s="134"/>
      <c r="RD4" s="134"/>
      <c r="RE4" s="134"/>
      <c r="RF4" s="134"/>
      <c r="RG4" s="134"/>
      <c r="RH4" s="134"/>
      <c r="RI4" s="134"/>
      <c r="RJ4" s="134"/>
      <c r="RK4" s="134"/>
      <c r="RL4" s="134"/>
      <c r="RM4" s="134"/>
      <c r="RN4" s="134"/>
      <c r="RO4" s="134"/>
      <c r="RP4" s="134"/>
      <c r="RQ4" s="134"/>
      <c r="RR4" s="134"/>
      <c r="RS4" s="134"/>
      <c r="RT4" s="134"/>
      <c r="RU4" s="134"/>
      <c r="RV4" s="134"/>
      <c r="RW4" s="134"/>
      <c r="RX4" s="134"/>
      <c r="RY4" s="134"/>
      <c r="RZ4" s="134"/>
      <c r="SA4" s="134"/>
      <c r="SB4" s="134"/>
      <c r="SC4" s="134"/>
      <c r="SD4" s="134"/>
      <c r="SE4" s="134"/>
      <c r="SF4" s="134"/>
      <c r="SG4" s="134"/>
      <c r="SH4" s="134"/>
      <c r="SI4" s="134"/>
      <c r="SJ4" s="134"/>
      <c r="SK4" s="134"/>
      <c r="SL4" s="134"/>
      <c r="SM4" s="134"/>
      <c r="SN4" s="134"/>
      <c r="SO4" s="134"/>
      <c r="SP4" s="134"/>
      <c r="SQ4" s="134"/>
      <c r="SR4" s="134"/>
      <c r="SS4" s="134"/>
      <c r="ST4" s="134"/>
      <c r="SU4" s="134"/>
      <c r="SV4" s="134"/>
      <c r="SW4" s="134"/>
      <c r="SX4" s="134"/>
      <c r="SY4" s="134"/>
      <c r="SZ4" s="134"/>
      <c r="TA4" s="134"/>
      <c r="TB4" s="134"/>
      <c r="TC4" s="134"/>
      <c r="TD4" s="134"/>
      <c r="TE4" s="134"/>
      <c r="TF4" s="134"/>
      <c r="TG4" s="134"/>
      <c r="TH4" s="134"/>
      <c r="TI4" s="134"/>
      <c r="TJ4" s="134"/>
      <c r="TK4" s="134"/>
      <c r="TL4" s="142"/>
      <c r="TM4" s="142"/>
      <c r="TN4" s="142"/>
      <c r="TO4" s="142"/>
      <c r="TP4" s="142"/>
      <c r="TQ4" s="142"/>
      <c r="TR4" s="142"/>
      <c r="TS4" s="142"/>
      <c r="TT4" s="142"/>
      <c r="TU4" s="142"/>
      <c r="TV4" s="142"/>
      <c r="TW4" s="142"/>
      <c r="TX4" s="142"/>
      <c r="TY4" s="142"/>
      <c r="TZ4" s="142"/>
      <c r="UA4" s="142"/>
      <c r="UB4" s="142"/>
      <c r="UC4" s="142"/>
      <c r="UD4" s="142"/>
      <c r="UE4" s="142"/>
      <c r="UF4" s="142"/>
      <c r="UG4" s="142"/>
      <c r="UH4" s="142"/>
      <c r="UI4" s="142"/>
      <c r="UJ4" s="142"/>
      <c r="UK4" s="142"/>
      <c r="UL4" s="142"/>
      <c r="UM4" s="142"/>
      <c r="UN4" s="142"/>
      <c r="UO4" s="142"/>
      <c r="UP4" s="142"/>
      <c r="UQ4" s="142"/>
      <c r="UR4" s="142"/>
      <c r="US4" s="142"/>
      <c r="UT4" s="142"/>
      <c r="UU4" s="142"/>
      <c r="UV4" s="142"/>
      <c r="UW4" s="142"/>
      <c r="UX4" s="142"/>
      <c r="UY4" s="142"/>
      <c r="UZ4" s="142"/>
      <c r="VA4" s="142"/>
      <c r="VB4" s="142"/>
      <c r="VC4" s="142"/>
      <c r="VD4" s="142"/>
      <c r="VE4" s="142"/>
      <c r="VF4" s="142"/>
      <c r="VG4" s="142"/>
      <c r="VH4" s="142"/>
      <c r="VI4" s="142"/>
      <c r="VJ4" s="142"/>
      <c r="VK4" s="142"/>
      <c r="VL4" s="142"/>
      <c r="VM4" s="142"/>
      <c r="VN4" s="142"/>
      <c r="VO4" s="142"/>
      <c r="VP4" s="142"/>
      <c r="VQ4" s="142"/>
      <c r="VR4" s="142"/>
      <c r="VS4" s="142"/>
      <c r="VT4" s="142"/>
      <c r="VU4" s="142"/>
      <c r="VV4" s="142"/>
      <c r="VW4" s="142"/>
      <c r="VX4" s="142"/>
      <c r="VY4" s="142"/>
      <c r="VZ4" s="142"/>
      <c r="WA4" s="142"/>
      <c r="WB4" s="142"/>
      <c r="WC4" s="142"/>
      <c r="WD4" s="142"/>
      <c r="WE4" s="142"/>
      <c r="WF4" s="142"/>
      <c r="WG4" s="142"/>
      <c r="WH4" s="142"/>
      <c r="WI4" s="142"/>
      <c r="WJ4" s="142"/>
      <c r="WK4" s="142"/>
      <c r="WL4" s="142"/>
      <c r="WM4" s="142"/>
      <c r="WN4" s="142"/>
      <c r="WO4" s="142"/>
      <c r="WP4" s="142"/>
      <c r="WQ4" s="142"/>
      <c r="WR4" s="142"/>
      <c r="WS4" s="142"/>
      <c r="WT4" s="142"/>
      <c r="WU4" s="142"/>
    </row>
    <row r="5" spans="1:619" s="2" customFormat="1" x14ac:dyDescent="0.2">
      <c r="A5" s="7"/>
      <c r="B5" s="13" t="s">
        <v>204</v>
      </c>
      <c r="C5" s="6"/>
      <c r="D5" s="6"/>
      <c r="E5" s="6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300"/>
      <c r="R5" s="300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34"/>
      <c r="IW5" s="134"/>
      <c r="IX5" s="134"/>
      <c r="IY5" s="134"/>
      <c r="IZ5" s="134"/>
      <c r="JA5" s="134"/>
      <c r="JB5" s="134"/>
      <c r="JC5" s="134"/>
      <c r="JD5" s="134"/>
      <c r="JE5" s="134"/>
      <c r="JF5" s="134"/>
      <c r="JG5" s="134"/>
      <c r="JH5" s="134"/>
      <c r="JI5" s="134"/>
      <c r="JJ5" s="134"/>
      <c r="JK5" s="134"/>
      <c r="JL5" s="134"/>
      <c r="JM5" s="134"/>
      <c r="JN5" s="134"/>
      <c r="JO5" s="134"/>
      <c r="JP5" s="134"/>
      <c r="JQ5" s="134"/>
      <c r="JR5" s="134"/>
      <c r="JS5" s="134"/>
      <c r="JT5" s="134"/>
      <c r="JU5" s="134"/>
      <c r="JV5" s="134"/>
      <c r="JW5" s="134"/>
      <c r="JX5" s="134"/>
      <c r="JY5" s="134"/>
      <c r="JZ5" s="134"/>
      <c r="KA5" s="134"/>
      <c r="KB5" s="134"/>
      <c r="KC5" s="134"/>
      <c r="KD5" s="134"/>
      <c r="KE5" s="134"/>
      <c r="KF5" s="134"/>
      <c r="KG5" s="134"/>
      <c r="KH5" s="134"/>
      <c r="KI5" s="134"/>
      <c r="KJ5" s="134"/>
      <c r="KK5" s="134"/>
      <c r="KL5" s="134"/>
      <c r="KM5" s="134"/>
      <c r="KN5" s="134"/>
      <c r="KO5" s="134"/>
      <c r="KP5" s="134"/>
      <c r="KQ5" s="134"/>
      <c r="KR5" s="134"/>
      <c r="KS5" s="134"/>
      <c r="KT5" s="134"/>
      <c r="KU5" s="134"/>
      <c r="KV5" s="134"/>
      <c r="KW5" s="134"/>
      <c r="KX5" s="134"/>
      <c r="KY5" s="134"/>
      <c r="KZ5" s="134"/>
      <c r="LA5" s="134"/>
      <c r="LB5" s="134"/>
      <c r="LC5" s="134"/>
      <c r="LD5" s="134"/>
      <c r="LE5" s="134"/>
      <c r="LF5" s="134"/>
      <c r="LG5" s="134"/>
      <c r="LH5" s="134"/>
      <c r="LI5" s="134"/>
      <c r="LJ5" s="134"/>
      <c r="LK5" s="134"/>
      <c r="LL5" s="134"/>
      <c r="LM5" s="134"/>
      <c r="LN5" s="134"/>
      <c r="LO5" s="134"/>
      <c r="LP5" s="134"/>
      <c r="LQ5" s="134"/>
      <c r="LR5" s="134"/>
      <c r="LS5" s="134"/>
      <c r="LT5" s="134"/>
      <c r="LU5" s="134"/>
      <c r="LV5" s="134"/>
      <c r="LW5" s="134"/>
      <c r="LX5" s="134"/>
      <c r="LY5" s="134"/>
      <c r="LZ5" s="134"/>
      <c r="MA5" s="134"/>
      <c r="MB5" s="134"/>
      <c r="MC5" s="134"/>
      <c r="MD5" s="134"/>
      <c r="ME5" s="134"/>
      <c r="MF5" s="134"/>
      <c r="MG5" s="134"/>
      <c r="MH5" s="134"/>
      <c r="MI5" s="134"/>
      <c r="MJ5" s="134"/>
      <c r="MK5" s="134"/>
      <c r="ML5" s="134"/>
      <c r="MM5" s="134"/>
      <c r="MN5" s="134"/>
      <c r="MO5" s="134"/>
      <c r="MP5" s="134"/>
      <c r="MQ5" s="134"/>
      <c r="MR5" s="134"/>
      <c r="MS5" s="134"/>
      <c r="MT5" s="134"/>
      <c r="MU5" s="134"/>
      <c r="MV5" s="134"/>
      <c r="MW5" s="134"/>
      <c r="MX5" s="134"/>
      <c r="MY5" s="134"/>
      <c r="MZ5" s="134"/>
      <c r="NA5" s="134"/>
      <c r="NB5" s="134"/>
      <c r="NC5" s="134"/>
      <c r="ND5" s="134"/>
      <c r="NE5" s="134"/>
      <c r="NF5" s="134"/>
      <c r="NG5" s="134"/>
      <c r="NH5" s="134"/>
      <c r="NI5" s="134"/>
      <c r="NJ5" s="134"/>
      <c r="NK5" s="134"/>
      <c r="NL5" s="134"/>
      <c r="NM5" s="134"/>
      <c r="NN5" s="134"/>
      <c r="NO5" s="134"/>
      <c r="NP5" s="134"/>
      <c r="NQ5" s="134"/>
      <c r="NR5" s="134"/>
      <c r="NS5" s="134"/>
      <c r="NT5" s="134"/>
      <c r="NU5" s="134"/>
      <c r="NV5" s="134"/>
      <c r="NW5" s="134"/>
      <c r="NX5" s="134"/>
      <c r="NY5" s="134"/>
      <c r="NZ5" s="134"/>
      <c r="OA5" s="134"/>
      <c r="OB5" s="134"/>
      <c r="OC5" s="134"/>
      <c r="OD5" s="134"/>
      <c r="OE5" s="134"/>
      <c r="OF5" s="134"/>
      <c r="OG5" s="134"/>
      <c r="OH5" s="134"/>
      <c r="OI5" s="134"/>
      <c r="OJ5" s="134"/>
      <c r="OK5" s="134"/>
      <c r="OL5" s="134"/>
      <c r="OM5" s="134"/>
      <c r="ON5" s="134"/>
      <c r="OO5" s="134"/>
      <c r="OP5" s="134"/>
      <c r="OQ5" s="134"/>
      <c r="OR5" s="134"/>
      <c r="OS5" s="134"/>
      <c r="OT5" s="134"/>
      <c r="OU5" s="134"/>
      <c r="OV5" s="134"/>
      <c r="OW5" s="134"/>
      <c r="OX5" s="134"/>
      <c r="OY5" s="134"/>
      <c r="OZ5" s="134"/>
      <c r="PA5" s="134"/>
      <c r="PB5" s="134"/>
      <c r="PC5" s="134"/>
      <c r="PD5" s="134"/>
      <c r="PE5" s="134"/>
      <c r="PF5" s="134"/>
      <c r="PG5" s="134"/>
      <c r="PH5" s="134"/>
      <c r="PI5" s="134"/>
      <c r="PJ5" s="134"/>
      <c r="PK5" s="134"/>
      <c r="PL5" s="134"/>
      <c r="PM5" s="134"/>
      <c r="PN5" s="134"/>
      <c r="PO5" s="134"/>
      <c r="PP5" s="134"/>
      <c r="PQ5" s="134"/>
      <c r="PR5" s="134"/>
      <c r="PS5" s="134"/>
      <c r="PT5" s="134"/>
      <c r="PU5" s="134"/>
      <c r="PV5" s="134"/>
      <c r="PW5" s="134"/>
      <c r="PX5" s="134"/>
      <c r="PY5" s="134"/>
      <c r="PZ5" s="134"/>
      <c r="QA5" s="134"/>
      <c r="QB5" s="134"/>
      <c r="QC5" s="134"/>
      <c r="QD5" s="134"/>
      <c r="QE5" s="134"/>
      <c r="QF5" s="134"/>
      <c r="QG5" s="134"/>
      <c r="QH5" s="134"/>
      <c r="QI5" s="134"/>
      <c r="QJ5" s="134"/>
      <c r="QK5" s="134"/>
      <c r="QL5" s="134"/>
      <c r="QM5" s="134"/>
      <c r="QN5" s="134"/>
      <c r="QO5" s="134"/>
      <c r="QP5" s="134"/>
      <c r="QQ5" s="134"/>
      <c r="QR5" s="134"/>
      <c r="QS5" s="134"/>
      <c r="QT5" s="134"/>
      <c r="QU5" s="134"/>
      <c r="QV5" s="134"/>
      <c r="QW5" s="134"/>
      <c r="QX5" s="134"/>
      <c r="QY5" s="134"/>
      <c r="QZ5" s="134"/>
      <c r="RA5" s="134"/>
      <c r="RB5" s="134"/>
      <c r="RC5" s="134"/>
      <c r="RD5" s="134"/>
      <c r="RE5" s="134"/>
      <c r="RF5" s="134"/>
      <c r="RG5" s="134"/>
      <c r="RH5" s="134"/>
      <c r="RI5" s="134"/>
      <c r="RJ5" s="134"/>
      <c r="RK5" s="134"/>
      <c r="RL5" s="134"/>
      <c r="RM5" s="134"/>
      <c r="RN5" s="134"/>
      <c r="RO5" s="134"/>
      <c r="RP5" s="134"/>
      <c r="RQ5" s="134"/>
      <c r="RR5" s="134"/>
      <c r="RS5" s="134"/>
      <c r="RT5" s="134"/>
      <c r="RU5" s="134"/>
      <c r="RV5" s="134"/>
      <c r="RW5" s="134"/>
      <c r="RX5" s="134"/>
      <c r="RY5" s="134"/>
      <c r="RZ5" s="134"/>
      <c r="SA5" s="134"/>
      <c r="SB5" s="134"/>
      <c r="SC5" s="134"/>
      <c r="SD5" s="134"/>
      <c r="SE5" s="134"/>
      <c r="SF5" s="134"/>
      <c r="SG5" s="134"/>
      <c r="SH5" s="134"/>
      <c r="SI5" s="134"/>
      <c r="SJ5" s="134"/>
      <c r="SK5" s="134"/>
      <c r="SL5" s="134"/>
      <c r="SM5" s="134"/>
      <c r="SN5" s="134"/>
      <c r="SO5" s="134"/>
      <c r="SP5" s="134"/>
      <c r="SQ5" s="134"/>
      <c r="SR5" s="134"/>
      <c r="SS5" s="134"/>
      <c r="ST5" s="134"/>
      <c r="SU5" s="134"/>
      <c r="SV5" s="134"/>
      <c r="SW5" s="134"/>
      <c r="SX5" s="134"/>
      <c r="SY5" s="134"/>
      <c r="SZ5" s="134"/>
      <c r="TA5" s="134"/>
      <c r="TB5" s="134"/>
      <c r="TC5" s="134"/>
      <c r="TD5" s="134"/>
      <c r="TE5" s="134"/>
      <c r="TF5" s="134"/>
      <c r="TG5" s="134"/>
      <c r="TH5" s="134"/>
      <c r="TI5" s="134"/>
      <c r="TJ5" s="134"/>
      <c r="TK5" s="134"/>
      <c r="TL5" s="142"/>
      <c r="TM5" s="142"/>
      <c r="TN5" s="142"/>
      <c r="TO5" s="142"/>
      <c r="TP5" s="142"/>
      <c r="TQ5" s="142"/>
      <c r="TR5" s="142"/>
      <c r="TS5" s="142"/>
      <c r="TT5" s="142"/>
      <c r="TU5" s="142"/>
      <c r="TV5" s="142"/>
      <c r="TW5" s="142"/>
      <c r="TX5" s="142"/>
      <c r="TY5" s="142"/>
      <c r="TZ5" s="142"/>
      <c r="UA5" s="142"/>
      <c r="UB5" s="142"/>
      <c r="UC5" s="142"/>
      <c r="UD5" s="142"/>
      <c r="UE5" s="142"/>
      <c r="UF5" s="142"/>
      <c r="UG5" s="142"/>
      <c r="UH5" s="142"/>
      <c r="UI5" s="142"/>
      <c r="UJ5" s="142"/>
      <c r="UK5" s="142"/>
      <c r="UL5" s="142"/>
      <c r="UM5" s="142"/>
      <c r="UN5" s="142"/>
      <c r="UO5" s="142"/>
      <c r="UP5" s="142"/>
      <c r="UQ5" s="142"/>
      <c r="UR5" s="142"/>
      <c r="US5" s="142"/>
      <c r="UT5" s="142"/>
      <c r="UU5" s="142"/>
      <c r="UV5" s="142"/>
      <c r="UW5" s="142"/>
      <c r="UX5" s="142"/>
      <c r="UY5" s="142"/>
      <c r="UZ5" s="142"/>
      <c r="VA5" s="142"/>
      <c r="VB5" s="142"/>
      <c r="VC5" s="142"/>
      <c r="VD5" s="142"/>
      <c r="VE5" s="142"/>
      <c r="VF5" s="142"/>
      <c r="VG5" s="142"/>
      <c r="VH5" s="142"/>
      <c r="VI5" s="142"/>
      <c r="VJ5" s="142"/>
      <c r="VK5" s="142"/>
      <c r="VL5" s="142"/>
      <c r="VM5" s="142"/>
      <c r="VN5" s="142"/>
      <c r="VO5" s="142"/>
      <c r="VP5" s="142"/>
      <c r="VQ5" s="142"/>
      <c r="VR5" s="142"/>
      <c r="VS5" s="142"/>
      <c r="VT5" s="142"/>
      <c r="VU5" s="142"/>
      <c r="VV5" s="142"/>
      <c r="VW5" s="142"/>
      <c r="VX5" s="142"/>
      <c r="VY5" s="142"/>
      <c r="VZ5" s="142"/>
      <c r="WA5" s="142"/>
      <c r="WB5" s="142"/>
      <c r="WC5" s="142"/>
      <c r="WD5" s="142"/>
      <c r="WE5" s="142"/>
      <c r="WF5" s="142"/>
      <c r="WG5" s="142"/>
      <c r="WH5" s="142"/>
      <c r="WI5" s="142"/>
      <c r="WJ5" s="142"/>
      <c r="WK5" s="142"/>
      <c r="WL5" s="142"/>
      <c r="WM5" s="142"/>
      <c r="WN5" s="142"/>
      <c r="WO5" s="142"/>
      <c r="WP5" s="142"/>
      <c r="WQ5" s="142"/>
      <c r="WR5" s="142"/>
      <c r="WS5" s="142"/>
      <c r="WT5" s="142"/>
      <c r="WU5" s="142"/>
    </row>
    <row r="6" spans="1:619" s="2" customFormat="1" ht="8.1" customHeight="1" thickBot="1" x14ac:dyDescent="0.25">
      <c r="A6" s="11"/>
      <c r="B6" s="5"/>
      <c r="C6" s="5"/>
      <c r="D6" s="5"/>
      <c r="E6" s="5"/>
      <c r="F6" s="5"/>
      <c r="G6" s="14"/>
      <c r="H6" s="5"/>
      <c r="I6" s="5"/>
      <c r="J6" s="5"/>
      <c r="K6" s="5"/>
      <c r="L6" s="5"/>
      <c r="M6" s="5"/>
      <c r="N6" s="5"/>
      <c r="O6" s="5"/>
      <c r="P6" s="5"/>
      <c r="Q6" s="301"/>
      <c r="R6" s="301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4"/>
      <c r="JD6" s="134"/>
      <c r="JE6" s="134"/>
      <c r="JF6" s="134"/>
      <c r="JG6" s="134"/>
      <c r="JH6" s="134"/>
      <c r="JI6" s="134"/>
      <c r="JJ6" s="134"/>
      <c r="JK6" s="134"/>
      <c r="JL6" s="134"/>
      <c r="JM6" s="134"/>
      <c r="JN6" s="134"/>
      <c r="JO6" s="134"/>
      <c r="JP6" s="134"/>
      <c r="JQ6" s="134"/>
      <c r="JR6" s="134"/>
      <c r="JS6" s="134"/>
      <c r="JT6" s="134"/>
      <c r="JU6" s="134"/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4"/>
      <c r="KM6" s="134"/>
      <c r="KN6" s="134"/>
      <c r="KO6" s="134"/>
      <c r="KP6" s="134"/>
      <c r="KQ6" s="134"/>
      <c r="KR6" s="134"/>
      <c r="KS6" s="134"/>
      <c r="KT6" s="134"/>
      <c r="KU6" s="134"/>
      <c r="KV6" s="134"/>
      <c r="KW6" s="134"/>
      <c r="KX6" s="134"/>
      <c r="KY6" s="134"/>
      <c r="KZ6" s="134"/>
      <c r="LA6" s="134"/>
      <c r="LB6" s="134"/>
      <c r="LC6" s="134"/>
      <c r="LD6" s="134"/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4"/>
      <c r="LV6" s="134"/>
      <c r="LW6" s="134"/>
      <c r="LX6" s="134"/>
      <c r="LY6" s="134"/>
      <c r="LZ6" s="134"/>
      <c r="MA6" s="134"/>
      <c r="MB6" s="134"/>
      <c r="MC6" s="134"/>
      <c r="MD6" s="134"/>
      <c r="ME6" s="134"/>
      <c r="MF6" s="134"/>
      <c r="MG6" s="134"/>
      <c r="MH6" s="134"/>
      <c r="MI6" s="134"/>
      <c r="MJ6" s="134"/>
      <c r="MK6" s="134"/>
      <c r="ML6" s="134"/>
      <c r="MM6" s="134"/>
      <c r="MN6" s="134"/>
      <c r="MO6" s="134"/>
      <c r="MP6" s="134"/>
      <c r="MQ6" s="134"/>
      <c r="MR6" s="134"/>
      <c r="MS6" s="134"/>
      <c r="MT6" s="134"/>
      <c r="MU6" s="134"/>
      <c r="MV6" s="134"/>
      <c r="MW6" s="134"/>
      <c r="MX6" s="134"/>
      <c r="MY6" s="134"/>
      <c r="MZ6" s="134"/>
      <c r="NA6" s="134"/>
      <c r="NB6" s="134"/>
      <c r="NC6" s="134"/>
      <c r="ND6" s="134"/>
      <c r="NE6" s="134"/>
      <c r="NF6" s="134"/>
      <c r="NG6" s="134"/>
      <c r="NH6" s="134"/>
      <c r="NI6" s="134"/>
      <c r="NJ6" s="134"/>
      <c r="NK6" s="134"/>
      <c r="NL6" s="134"/>
      <c r="NM6" s="134"/>
      <c r="NN6" s="134"/>
      <c r="NO6" s="134"/>
      <c r="NP6" s="134"/>
      <c r="NQ6" s="134"/>
      <c r="NR6" s="134"/>
      <c r="NS6" s="134"/>
      <c r="NT6" s="134"/>
      <c r="NU6" s="134"/>
      <c r="NV6" s="134"/>
      <c r="NW6" s="134"/>
      <c r="NX6" s="134"/>
      <c r="NY6" s="134"/>
      <c r="NZ6" s="134"/>
      <c r="OA6" s="134"/>
      <c r="OB6" s="134"/>
      <c r="OC6" s="134"/>
      <c r="OD6" s="134"/>
      <c r="OE6" s="134"/>
      <c r="OF6" s="134"/>
      <c r="OG6" s="134"/>
      <c r="OH6" s="134"/>
      <c r="OI6" s="134"/>
      <c r="OJ6" s="134"/>
      <c r="OK6" s="134"/>
      <c r="OL6" s="134"/>
      <c r="OM6" s="134"/>
      <c r="ON6" s="134"/>
      <c r="OO6" s="134"/>
      <c r="OP6" s="134"/>
      <c r="OQ6" s="134"/>
      <c r="OR6" s="134"/>
      <c r="OS6" s="134"/>
      <c r="OT6" s="134"/>
      <c r="OU6" s="134"/>
      <c r="OV6" s="134"/>
      <c r="OW6" s="134"/>
      <c r="OX6" s="134"/>
      <c r="OY6" s="134"/>
      <c r="OZ6" s="134"/>
      <c r="PA6" s="134"/>
      <c r="PB6" s="134"/>
      <c r="PC6" s="134"/>
      <c r="PD6" s="134"/>
      <c r="PE6" s="134"/>
      <c r="PF6" s="134"/>
      <c r="PG6" s="134"/>
      <c r="PH6" s="134"/>
      <c r="PI6" s="134"/>
      <c r="PJ6" s="134"/>
      <c r="PK6" s="134"/>
      <c r="PL6" s="134"/>
      <c r="PM6" s="134"/>
      <c r="PN6" s="134"/>
      <c r="PO6" s="134"/>
      <c r="PP6" s="134"/>
      <c r="PQ6" s="134"/>
      <c r="PR6" s="134"/>
      <c r="PS6" s="134"/>
      <c r="PT6" s="134"/>
      <c r="PU6" s="134"/>
      <c r="PV6" s="134"/>
      <c r="PW6" s="134"/>
      <c r="PX6" s="134"/>
      <c r="PY6" s="134"/>
      <c r="PZ6" s="134"/>
      <c r="QA6" s="134"/>
      <c r="QB6" s="134"/>
      <c r="QC6" s="134"/>
      <c r="QD6" s="134"/>
      <c r="QE6" s="134"/>
      <c r="QF6" s="134"/>
      <c r="QG6" s="134"/>
      <c r="QH6" s="134"/>
      <c r="QI6" s="134"/>
      <c r="QJ6" s="134"/>
      <c r="QK6" s="134"/>
      <c r="QL6" s="134"/>
      <c r="QM6" s="134"/>
      <c r="QN6" s="134"/>
      <c r="QO6" s="134"/>
      <c r="QP6" s="134"/>
      <c r="QQ6" s="134"/>
      <c r="QR6" s="134"/>
      <c r="QS6" s="134"/>
      <c r="QT6" s="134"/>
      <c r="QU6" s="134"/>
      <c r="QV6" s="134"/>
      <c r="QW6" s="134"/>
      <c r="QX6" s="134"/>
      <c r="QY6" s="134"/>
      <c r="QZ6" s="134"/>
      <c r="RA6" s="134"/>
      <c r="RB6" s="134"/>
      <c r="RC6" s="134"/>
      <c r="RD6" s="134"/>
      <c r="RE6" s="134"/>
      <c r="RF6" s="134"/>
      <c r="RG6" s="134"/>
      <c r="RH6" s="134"/>
      <c r="RI6" s="134"/>
      <c r="RJ6" s="134"/>
      <c r="RK6" s="134"/>
      <c r="RL6" s="134"/>
      <c r="RM6" s="134"/>
      <c r="RN6" s="134"/>
      <c r="RO6" s="134"/>
      <c r="RP6" s="134"/>
      <c r="RQ6" s="134"/>
      <c r="RR6" s="134"/>
      <c r="RS6" s="134"/>
      <c r="RT6" s="134"/>
      <c r="RU6" s="134"/>
      <c r="RV6" s="134"/>
      <c r="RW6" s="134"/>
      <c r="RX6" s="134"/>
      <c r="RY6" s="134"/>
      <c r="RZ6" s="134"/>
      <c r="SA6" s="134"/>
      <c r="SB6" s="134"/>
      <c r="SC6" s="134"/>
      <c r="SD6" s="134"/>
      <c r="SE6" s="134"/>
      <c r="SF6" s="134"/>
      <c r="SG6" s="134"/>
      <c r="SH6" s="134"/>
      <c r="SI6" s="134"/>
      <c r="SJ6" s="134"/>
      <c r="SK6" s="134"/>
      <c r="SL6" s="134"/>
      <c r="SM6" s="134"/>
      <c r="SN6" s="134"/>
      <c r="SO6" s="134"/>
      <c r="SP6" s="134"/>
      <c r="SQ6" s="134"/>
      <c r="SR6" s="134"/>
      <c r="SS6" s="134"/>
      <c r="ST6" s="134"/>
      <c r="SU6" s="134"/>
      <c r="SV6" s="134"/>
      <c r="SW6" s="134"/>
      <c r="SX6" s="134"/>
      <c r="SY6" s="134"/>
      <c r="SZ6" s="134"/>
      <c r="TA6" s="134"/>
      <c r="TB6" s="134"/>
      <c r="TC6" s="134"/>
      <c r="TD6" s="134"/>
      <c r="TE6" s="134"/>
      <c r="TF6" s="134"/>
      <c r="TG6" s="134"/>
      <c r="TH6" s="134"/>
      <c r="TI6" s="134"/>
      <c r="TJ6" s="134"/>
      <c r="TK6" s="134"/>
      <c r="TL6" s="142"/>
      <c r="TM6" s="142"/>
      <c r="TN6" s="142"/>
      <c r="TO6" s="142"/>
      <c r="TP6" s="142"/>
      <c r="TQ6" s="142"/>
      <c r="TR6" s="142"/>
      <c r="TS6" s="142"/>
      <c r="TT6" s="142"/>
      <c r="TU6" s="142"/>
      <c r="TV6" s="142"/>
      <c r="TW6" s="142"/>
      <c r="TX6" s="142"/>
      <c r="TY6" s="142"/>
      <c r="TZ6" s="142"/>
      <c r="UA6" s="142"/>
      <c r="UB6" s="142"/>
      <c r="UC6" s="142"/>
      <c r="UD6" s="142"/>
      <c r="UE6" s="142"/>
      <c r="UF6" s="142"/>
      <c r="UG6" s="142"/>
      <c r="UH6" s="142"/>
      <c r="UI6" s="142"/>
      <c r="UJ6" s="142"/>
      <c r="UK6" s="142"/>
      <c r="UL6" s="142"/>
      <c r="UM6" s="142"/>
      <c r="UN6" s="142"/>
      <c r="UO6" s="142"/>
      <c r="UP6" s="142"/>
      <c r="UQ6" s="142"/>
      <c r="UR6" s="142"/>
      <c r="US6" s="142"/>
      <c r="UT6" s="142"/>
      <c r="UU6" s="142"/>
      <c r="UV6" s="142"/>
      <c r="UW6" s="142"/>
      <c r="UX6" s="142"/>
      <c r="UY6" s="142"/>
      <c r="UZ6" s="142"/>
      <c r="VA6" s="142"/>
      <c r="VB6" s="142"/>
      <c r="VC6" s="142"/>
      <c r="VD6" s="142"/>
      <c r="VE6" s="142"/>
      <c r="VF6" s="142"/>
      <c r="VG6" s="142"/>
      <c r="VH6" s="142"/>
      <c r="VI6" s="142"/>
      <c r="VJ6" s="142"/>
      <c r="VK6" s="142"/>
      <c r="VL6" s="142"/>
      <c r="VM6" s="142"/>
      <c r="VN6" s="142"/>
      <c r="VO6" s="142"/>
      <c r="VP6" s="142"/>
      <c r="VQ6" s="142"/>
      <c r="VR6" s="142"/>
      <c r="VS6" s="142"/>
      <c r="VT6" s="142"/>
      <c r="VU6" s="142"/>
      <c r="VV6" s="142"/>
      <c r="VW6" s="142"/>
      <c r="VX6" s="142"/>
      <c r="VY6" s="142"/>
      <c r="VZ6" s="142"/>
      <c r="WA6" s="142"/>
      <c r="WB6" s="142"/>
      <c r="WC6" s="142"/>
      <c r="WD6" s="142"/>
      <c r="WE6" s="142"/>
      <c r="WF6" s="142"/>
      <c r="WG6" s="142"/>
      <c r="WH6" s="142"/>
      <c r="WI6" s="142"/>
      <c r="WJ6" s="142"/>
      <c r="WK6" s="142"/>
      <c r="WL6" s="142"/>
      <c r="WM6" s="142"/>
      <c r="WN6" s="142"/>
      <c r="WO6" s="142"/>
      <c r="WP6" s="142"/>
      <c r="WQ6" s="142"/>
      <c r="WR6" s="142"/>
      <c r="WS6" s="142"/>
      <c r="WT6" s="142"/>
      <c r="WU6" s="142"/>
    </row>
    <row r="7" spans="1:619" s="2" customFormat="1" ht="13.5" customHeight="1" thickBot="1" x14ac:dyDescent="0.25">
      <c r="A7" s="600" t="s">
        <v>4</v>
      </c>
      <c r="B7" s="601"/>
      <c r="C7" s="601"/>
      <c r="D7" s="601"/>
      <c r="E7" s="601"/>
      <c r="F7" s="601"/>
      <c r="G7" s="601"/>
      <c r="H7" s="601"/>
      <c r="I7" s="601"/>
      <c r="J7" s="310"/>
      <c r="K7" s="310"/>
      <c r="L7" s="310"/>
      <c r="M7" s="310"/>
      <c r="N7" s="137"/>
      <c r="O7" s="305"/>
      <c r="P7" s="294"/>
      <c r="Q7" s="306"/>
      <c r="R7" s="307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134"/>
      <c r="ND7" s="134"/>
      <c r="NE7" s="134"/>
      <c r="NF7" s="134"/>
      <c r="NG7" s="134"/>
      <c r="NH7" s="134"/>
      <c r="NI7" s="134"/>
      <c r="NJ7" s="134"/>
      <c r="NK7" s="134"/>
      <c r="NL7" s="134"/>
      <c r="NM7" s="134"/>
      <c r="NN7" s="134"/>
      <c r="NO7" s="134"/>
      <c r="NP7" s="134"/>
      <c r="NQ7" s="134"/>
      <c r="NR7" s="134"/>
      <c r="NS7" s="134"/>
      <c r="NT7" s="134"/>
      <c r="NU7" s="134"/>
      <c r="NV7" s="134"/>
      <c r="NW7" s="134"/>
      <c r="NX7" s="134"/>
      <c r="NY7" s="134"/>
      <c r="NZ7" s="134"/>
      <c r="OA7" s="134"/>
      <c r="OB7" s="134"/>
      <c r="OC7" s="134"/>
      <c r="OD7" s="134"/>
      <c r="OE7" s="134"/>
      <c r="OF7" s="134"/>
      <c r="OG7" s="134"/>
      <c r="OH7" s="134"/>
      <c r="OI7" s="134"/>
      <c r="OJ7" s="134"/>
      <c r="OK7" s="134"/>
      <c r="OL7" s="134"/>
      <c r="OM7" s="134"/>
      <c r="ON7" s="134"/>
      <c r="OO7" s="134"/>
      <c r="OP7" s="134"/>
      <c r="OQ7" s="134"/>
      <c r="OR7" s="134"/>
      <c r="OS7" s="134"/>
      <c r="OT7" s="134"/>
      <c r="OU7" s="134"/>
      <c r="OV7" s="134"/>
      <c r="OW7" s="134"/>
      <c r="OX7" s="134"/>
      <c r="OY7" s="134"/>
      <c r="OZ7" s="134"/>
      <c r="PA7" s="134"/>
      <c r="PB7" s="134"/>
      <c r="PC7" s="134"/>
      <c r="PD7" s="134"/>
      <c r="PE7" s="134"/>
      <c r="PF7" s="134"/>
      <c r="PG7" s="134"/>
      <c r="PH7" s="134"/>
      <c r="PI7" s="134"/>
      <c r="PJ7" s="134"/>
      <c r="PK7" s="134"/>
      <c r="PL7" s="134"/>
      <c r="PM7" s="134"/>
      <c r="PN7" s="134"/>
      <c r="PO7" s="134"/>
      <c r="PP7" s="134"/>
      <c r="PQ7" s="134"/>
      <c r="PR7" s="134"/>
      <c r="PS7" s="134"/>
      <c r="PT7" s="134"/>
      <c r="PU7" s="134"/>
      <c r="PV7" s="134"/>
      <c r="PW7" s="134"/>
      <c r="PX7" s="134"/>
      <c r="PY7" s="134"/>
      <c r="PZ7" s="134"/>
      <c r="QA7" s="134"/>
      <c r="QB7" s="134"/>
      <c r="QC7" s="134"/>
      <c r="QD7" s="134"/>
      <c r="QE7" s="134"/>
      <c r="QF7" s="134"/>
      <c r="QG7" s="134"/>
      <c r="QH7" s="134"/>
      <c r="QI7" s="134"/>
      <c r="QJ7" s="134"/>
      <c r="QK7" s="134"/>
      <c r="QL7" s="134"/>
      <c r="QM7" s="134"/>
      <c r="QN7" s="134"/>
      <c r="QO7" s="134"/>
      <c r="QP7" s="134"/>
      <c r="QQ7" s="134"/>
      <c r="QR7" s="134"/>
      <c r="QS7" s="134"/>
      <c r="QT7" s="134"/>
      <c r="QU7" s="134"/>
      <c r="QV7" s="134"/>
      <c r="QW7" s="134"/>
      <c r="QX7" s="134"/>
      <c r="QY7" s="134"/>
      <c r="QZ7" s="134"/>
      <c r="RA7" s="134"/>
      <c r="RB7" s="134"/>
      <c r="RC7" s="134"/>
      <c r="RD7" s="134"/>
      <c r="RE7" s="134"/>
      <c r="RF7" s="134"/>
      <c r="RG7" s="134"/>
      <c r="RH7" s="134"/>
      <c r="RI7" s="134"/>
      <c r="RJ7" s="134"/>
      <c r="RK7" s="134"/>
      <c r="RL7" s="134"/>
      <c r="RM7" s="134"/>
      <c r="RN7" s="134"/>
      <c r="RO7" s="134"/>
      <c r="RP7" s="134"/>
      <c r="RQ7" s="134"/>
      <c r="RR7" s="134"/>
      <c r="RS7" s="134"/>
      <c r="RT7" s="134"/>
      <c r="RU7" s="134"/>
      <c r="RV7" s="134"/>
      <c r="RW7" s="134"/>
      <c r="RX7" s="134"/>
      <c r="RY7" s="134"/>
      <c r="RZ7" s="134"/>
      <c r="SA7" s="134"/>
      <c r="SB7" s="134"/>
      <c r="SC7" s="134"/>
      <c r="SD7" s="134"/>
      <c r="SE7" s="134"/>
      <c r="SF7" s="134"/>
      <c r="SG7" s="134"/>
      <c r="SH7" s="134"/>
      <c r="SI7" s="134"/>
      <c r="SJ7" s="134"/>
      <c r="SK7" s="134"/>
      <c r="SL7" s="134"/>
      <c r="SM7" s="134"/>
      <c r="SN7" s="134"/>
      <c r="SO7" s="134"/>
      <c r="SP7" s="134"/>
      <c r="SQ7" s="134"/>
      <c r="SR7" s="134"/>
      <c r="SS7" s="134"/>
      <c r="ST7" s="134"/>
      <c r="SU7" s="134"/>
      <c r="SV7" s="134"/>
      <c r="SW7" s="134"/>
      <c r="SX7" s="134"/>
      <c r="SY7" s="134"/>
      <c r="SZ7" s="134"/>
      <c r="TA7" s="134"/>
      <c r="TB7" s="134"/>
      <c r="TC7" s="134"/>
      <c r="TD7" s="134"/>
      <c r="TE7" s="134"/>
      <c r="TF7" s="134"/>
      <c r="TG7" s="134"/>
      <c r="TH7" s="134"/>
      <c r="TI7" s="134"/>
      <c r="TJ7" s="134"/>
      <c r="TK7" s="134"/>
      <c r="TL7" s="142"/>
      <c r="TM7" s="142"/>
      <c r="TN7" s="142"/>
      <c r="TO7" s="142"/>
      <c r="TP7" s="142"/>
      <c r="TQ7" s="142"/>
      <c r="TR7" s="142"/>
      <c r="TS7" s="142"/>
      <c r="TT7" s="142"/>
      <c r="TU7" s="142"/>
      <c r="TV7" s="142"/>
      <c r="TW7" s="142"/>
      <c r="TX7" s="142"/>
      <c r="TY7" s="142"/>
      <c r="TZ7" s="142"/>
      <c r="UA7" s="142"/>
      <c r="UB7" s="142"/>
      <c r="UC7" s="142"/>
      <c r="UD7" s="142"/>
      <c r="UE7" s="142"/>
      <c r="UF7" s="142"/>
      <c r="UG7" s="142"/>
      <c r="UH7" s="142"/>
      <c r="UI7" s="142"/>
      <c r="UJ7" s="142"/>
      <c r="UK7" s="142"/>
      <c r="UL7" s="142"/>
      <c r="UM7" s="142"/>
      <c r="UN7" s="142"/>
      <c r="UO7" s="142"/>
      <c r="UP7" s="142"/>
      <c r="UQ7" s="142"/>
      <c r="UR7" s="142"/>
      <c r="US7" s="142"/>
      <c r="UT7" s="142"/>
      <c r="UU7" s="142"/>
      <c r="UV7" s="142"/>
      <c r="UW7" s="142"/>
      <c r="UX7" s="142"/>
      <c r="UY7" s="142"/>
      <c r="UZ7" s="142"/>
      <c r="VA7" s="142"/>
      <c r="VB7" s="142"/>
      <c r="VC7" s="142"/>
      <c r="VD7" s="142"/>
      <c r="VE7" s="142"/>
      <c r="VF7" s="142"/>
      <c r="VG7" s="142"/>
      <c r="VH7" s="142"/>
      <c r="VI7" s="142"/>
      <c r="VJ7" s="142"/>
      <c r="VK7" s="142"/>
      <c r="VL7" s="142"/>
      <c r="VM7" s="142"/>
      <c r="VN7" s="142"/>
      <c r="VO7" s="142"/>
      <c r="VP7" s="142"/>
      <c r="VQ7" s="142"/>
      <c r="VR7" s="142"/>
      <c r="VS7" s="142"/>
      <c r="VT7" s="142"/>
      <c r="VU7" s="142"/>
      <c r="VV7" s="142"/>
      <c r="VW7" s="142"/>
      <c r="VX7" s="142"/>
      <c r="VY7" s="142"/>
      <c r="VZ7" s="142"/>
      <c r="WA7" s="142"/>
      <c r="WB7" s="142"/>
      <c r="WC7" s="142"/>
      <c r="WD7" s="142"/>
      <c r="WE7" s="142"/>
      <c r="WF7" s="142"/>
      <c r="WG7" s="142"/>
      <c r="WH7" s="142"/>
      <c r="WI7" s="142"/>
      <c r="WJ7" s="142"/>
      <c r="WK7" s="142"/>
      <c r="WL7" s="142"/>
      <c r="WM7" s="142"/>
      <c r="WN7" s="142"/>
      <c r="WO7" s="142"/>
      <c r="WP7" s="142"/>
      <c r="WQ7" s="142"/>
      <c r="WR7" s="142"/>
      <c r="WS7" s="142"/>
      <c r="WT7" s="142"/>
      <c r="WU7" s="142"/>
    </row>
    <row r="8" spans="1:619" s="2" customFormat="1" ht="8.1" customHeight="1" x14ac:dyDescent="0.2">
      <c r="A8" s="17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43"/>
      <c r="N8" s="18"/>
      <c r="O8" s="302"/>
      <c r="P8" s="303"/>
      <c r="Q8" s="304"/>
      <c r="R8" s="30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4"/>
      <c r="IW8" s="134"/>
      <c r="IX8" s="134"/>
      <c r="IY8" s="134"/>
      <c r="IZ8" s="134"/>
      <c r="JA8" s="134"/>
      <c r="JB8" s="134"/>
      <c r="JC8" s="134"/>
      <c r="JD8" s="134"/>
      <c r="JE8" s="134"/>
      <c r="JF8" s="134"/>
      <c r="JG8" s="134"/>
      <c r="JH8" s="134"/>
      <c r="JI8" s="134"/>
      <c r="JJ8" s="134"/>
      <c r="JK8" s="134"/>
      <c r="JL8" s="134"/>
      <c r="JM8" s="134"/>
      <c r="JN8" s="134"/>
      <c r="JO8" s="134"/>
      <c r="JP8" s="134"/>
      <c r="JQ8" s="134"/>
      <c r="JR8" s="134"/>
      <c r="JS8" s="134"/>
      <c r="JT8" s="134"/>
      <c r="JU8" s="134"/>
      <c r="JV8" s="134"/>
      <c r="JW8" s="134"/>
      <c r="JX8" s="134"/>
      <c r="JY8" s="134"/>
      <c r="JZ8" s="134"/>
      <c r="KA8" s="134"/>
      <c r="KB8" s="134"/>
      <c r="KC8" s="134"/>
      <c r="KD8" s="134"/>
      <c r="KE8" s="134"/>
      <c r="KF8" s="134"/>
      <c r="KG8" s="134"/>
      <c r="KH8" s="134"/>
      <c r="KI8" s="134"/>
      <c r="KJ8" s="134"/>
      <c r="KK8" s="134"/>
      <c r="KL8" s="134"/>
      <c r="KM8" s="134"/>
      <c r="KN8" s="134"/>
      <c r="KO8" s="134"/>
      <c r="KP8" s="134"/>
      <c r="KQ8" s="134"/>
      <c r="KR8" s="134"/>
      <c r="KS8" s="134"/>
      <c r="KT8" s="134"/>
      <c r="KU8" s="134"/>
      <c r="KV8" s="134"/>
      <c r="KW8" s="134"/>
      <c r="KX8" s="134"/>
      <c r="KY8" s="134"/>
      <c r="KZ8" s="134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  <c r="LM8" s="134"/>
      <c r="LN8" s="134"/>
      <c r="LO8" s="134"/>
      <c r="LP8" s="134"/>
      <c r="LQ8" s="134"/>
      <c r="LR8" s="134"/>
      <c r="LS8" s="134"/>
      <c r="LT8" s="134"/>
      <c r="LU8" s="134"/>
      <c r="LV8" s="134"/>
      <c r="LW8" s="134"/>
      <c r="LX8" s="134"/>
      <c r="LY8" s="134"/>
      <c r="LZ8" s="134"/>
      <c r="MA8" s="134"/>
      <c r="MB8" s="134"/>
      <c r="MC8" s="134"/>
      <c r="MD8" s="134"/>
      <c r="ME8" s="134"/>
      <c r="MF8" s="134"/>
      <c r="MG8" s="134"/>
      <c r="MH8" s="134"/>
      <c r="MI8" s="134"/>
      <c r="MJ8" s="134"/>
      <c r="MK8" s="134"/>
      <c r="ML8" s="134"/>
      <c r="MM8" s="134"/>
      <c r="MN8" s="134"/>
      <c r="MO8" s="134"/>
      <c r="MP8" s="134"/>
      <c r="MQ8" s="134"/>
      <c r="MR8" s="134"/>
      <c r="MS8" s="134"/>
      <c r="MT8" s="134"/>
      <c r="MU8" s="134"/>
      <c r="MV8" s="134"/>
      <c r="MW8" s="134"/>
      <c r="MX8" s="134"/>
      <c r="MY8" s="134"/>
      <c r="MZ8" s="134"/>
      <c r="NA8" s="134"/>
      <c r="NB8" s="134"/>
      <c r="NC8" s="134"/>
      <c r="ND8" s="134"/>
      <c r="NE8" s="134"/>
      <c r="NF8" s="134"/>
      <c r="NG8" s="134"/>
      <c r="NH8" s="134"/>
      <c r="NI8" s="134"/>
      <c r="NJ8" s="134"/>
      <c r="NK8" s="134"/>
      <c r="NL8" s="134"/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4"/>
      <c r="NX8" s="134"/>
      <c r="NY8" s="134"/>
      <c r="NZ8" s="134"/>
      <c r="OA8" s="134"/>
      <c r="OB8" s="134"/>
      <c r="OC8" s="134"/>
      <c r="OD8" s="134"/>
      <c r="OE8" s="134"/>
      <c r="OF8" s="134"/>
      <c r="OG8" s="134"/>
      <c r="OH8" s="134"/>
      <c r="OI8" s="134"/>
      <c r="OJ8" s="134"/>
      <c r="OK8" s="134"/>
      <c r="OL8" s="134"/>
      <c r="OM8" s="134"/>
      <c r="ON8" s="134"/>
      <c r="OO8" s="134"/>
      <c r="OP8" s="134"/>
      <c r="OQ8" s="134"/>
      <c r="OR8" s="134"/>
      <c r="OS8" s="134"/>
      <c r="OT8" s="134"/>
      <c r="OU8" s="134"/>
      <c r="OV8" s="134"/>
      <c r="OW8" s="134"/>
      <c r="OX8" s="134"/>
      <c r="OY8" s="134"/>
      <c r="OZ8" s="134"/>
      <c r="PA8" s="134"/>
      <c r="PB8" s="134"/>
      <c r="PC8" s="134"/>
      <c r="PD8" s="134"/>
      <c r="PE8" s="134"/>
      <c r="PF8" s="134"/>
      <c r="PG8" s="134"/>
      <c r="PH8" s="134"/>
      <c r="PI8" s="134"/>
      <c r="PJ8" s="134"/>
      <c r="PK8" s="134"/>
      <c r="PL8" s="134"/>
      <c r="PM8" s="134"/>
      <c r="PN8" s="134"/>
      <c r="PO8" s="134"/>
      <c r="PP8" s="134"/>
      <c r="PQ8" s="134"/>
      <c r="PR8" s="134"/>
      <c r="PS8" s="134"/>
      <c r="PT8" s="134"/>
      <c r="PU8" s="134"/>
      <c r="PV8" s="134"/>
      <c r="PW8" s="134"/>
      <c r="PX8" s="134"/>
      <c r="PY8" s="134"/>
      <c r="PZ8" s="134"/>
      <c r="QA8" s="134"/>
      <c r="QB8" s="134"/>
      <c r="QC8" s="134"/>
      <c r="QD8" s="134"/>
      <c r="QE8" s="134"/>
      <c r="QF8" s="134"/>
      <c r="QG8" s="134"/>
      <c r="QH8" s="134"/>
      <c r="QI8" s="134"/>
      <c r="QJ8" s="134"/>
      <c r="QK8" s="134"/>
      <c r="QL8" s="134"/>
      <c r="QM8" s="134"/>
      <c r="QN8" s="134"/>
      <c r="QO8" s="134"/>
      <c r="QP8" s="134"/>
      <c r="QQ8" s="134"/>
      <c r="QR8" s="134"/>
      <c r="QS8" s="134"/>
      <c r="QT8" s="134"/>
      <c r="QU8" s="134"/>
      <c r="QV8" s="134"/>
      <c r="QW8" s="134"/>
      <c r="QX8" s="134"/>
      <c r="QY8" s="134"/>
      <c r="QZ8" s="134"/>
      <c r="RA8" s="134"/>
      <c r="RB8" s="134"/>
      <c r="RC8" s="134"/>
      <c r="RD8" s="134"/>
      <c r="RE8" s="134"/>
      <c r="RF8" s="134"/>
      <c r="RG8" s="134"/>
      <c r="RH8" s="134"/>
      <c r="RI8" s="134"/>
      <c r="RJ8" s="134"/>
      <c r="RK8" s="134"/>
      <c r="RL8" s="134"/>
      <c r="RM8" s="134"/>
      <c r="RN8" s="134"/>
      <c r="RO8" s="134"/>
      <c r="RP8" s="134"/>
      <c r="RQ8" s="134"/>
      <c r="RR8" s="134"/>
      <c r="RS8" s="134"/>
      <c r="RT8" s="134"/>
      <c r="RU8" s="134"/>
      <c r="RV8" s="134"/>
      <c r="RW8" s="134"/>
      <c r="RX8" s="134"/>
      <c r="RY8" s="134"/>
      <c r="RZ8" s="134"/>
      <c r="SA8" s="134"/>
      <c r="SB8" s="134"/>
      <c r="SC8" s="134"/>
      <c r="SD8" s="134"/>
      <c r="SE8" s="134"/>
      <c r="SF8" s="134"/>
      <c r="SG8" s="134"/>
      <c r="SH8" s="134"/>
      <c r="SI8" s="134"/>
      <c r="SJ8" s="134"/>
      <c r="SK8" s="134"/>
      <c r="SL8" s="134"/>
      <c r="SM8" s="134"/>
      <c r="SN8" s="134"/>
      <c r="SO8" s="134"/>
      <c r="SP8" s="134"/>
      <c r="SQ8" s="134"/>
      <c r="SR8" s="134"/>
      <c r="SS8" s="134"/>
      <c r="ST8" s="134"/>
      <c r="SU8" s="134"/>
      <c r="SV8" s="134"/>
      <c r="SW8" s="134"/>
      <c r="SX8" s="134"/>
      <c r="SY8" s="134"/>
      <c r="SZ8" s="134"/>
      <c r="TA8" s="134"/>
      <c r="TB8" s="134"/>
      <c r="TC8" s="134"/>
      <c r="TD8" s="134"/>
      <c r="TE8" s="134"/>
      <c r="TF8" s="134"/>
      <c r="TG8" s="134"/>
      <c r="TH8" s="134"/>
      <c r="TI8" s="134"/>
      <c r="TJ8" s="134"/>
      <c r="TK8" s="134"/>
      <c r="TL8" s="142"/>
      <c r="TM8" s="142"/>
      <c r="TN8" s="142"/>
      <c r="TO8" s="142"/>
      <c r="TP8" s="142"/>
      <c r="TQ8" s="142"/>
      <c r="TR8" s="142"/>
      <c r="TS8" s="142"/>
      <c r="TT8" s="142"/>
      <c r="TU8" s="142"/>
      <c r="TV8" s="142"/>
      <c r="TW8" s="142"/>
      <c r="TX8" s="142"/>
      <c r="TY8" s="142"/>
      <c r="TZ8" s="142"/>
      <c r="UA8" s="142"/>
      <c r="UB8" s="142"/>
      <c r="UC8" s="142"/>
      <c r="UD8" s="142"/>
      <c r="UE8" s="142"/>
      <c r="UF8" s="142"/>
      <c r="UG8" s="142"/>
      <c r="UH8" s="142"/>
      <c r="UI8" s="142"/>
      <c r="UJ8" s="142"/>
      <c r="UK8" s="142"/>
      <c r="UL8" s="142"/>
      <c r="UM8" s="142"/>
      <c r="UN8" s="142"/>
      <c r="UO8" s="142"/>
      <c r="UP8" s="142"/>
      <c r="UQ8" s="142"/>
      <c r="UR8" s="142"/>
      <c r="US8" s="142"/>
      <c r="UT8" s="142"/>
      <c r="UU8" s="142"/>
      <c r="UV8" s="142"/>
      <c r="UW8" s="142"/>
      <c r="UX8" s="142"/>
      <c r="UY8" s="142"/>
      <c r="UZ8" s="142"/>
      <c r="VA8" s="142"/>
      <c r="VB8" s="142"/>
      <c r="VC8" s="142"/>
      <c r="VD8" s="142"/>
      <c r="VE8" s="142"/>
      <c r="VF8" s="142"/>
      <c r="VG8" s="142"/>
      <c r="VH8" s="142"/>
      <c r="VI8" s="142"/>
      <c r="VJ8" s="142"/>
      <c r="VK8" s="142"/>
      <c r="VL8" s="142"/>
      <c r="VM8" s="142"/>
      <c r="VN8" s="142"/>
      <c r="VO8" s="142"/>
      <c r="VP8" s="142"/>
      <c r="VQ8" s="142"/>
      <c r="VR8" s="142"/>
      <c r="VS8" s="142"/>
      <c r="VT8" s="142"/>
      <c r="VU8" s="142"/>
      <c r="VV8" s="142"/>
      <c r="VW8" s="142"/>
      <c r="VX8" s="142"/>
      <c r="VY8" s="142"/>
      <c r="VZ8" s="142"/>
      <c r="WA8" s="142"/>
      <c r="WB8" s="142"/>
      <c r="WC8" s="142"/>
      <c r="WD8" s="142"/>
      <c r="WE8" s="142"/>
      <c r="WF8" s="142"/>
      <c r="WG8" s="142"/>
      <c r="WH8" s="142"/>
      <c r="WI8" s="142"/>
      <c r="WJ8" s="142"/>
      <c r="WK8" s="142"/>
      <c r="WL8" s="142"/>
      <c r="WM8" s="142"/>
      <c r="WN8" s="142"/>
      <c r="WO8" s="142"/>
      <c r="WP8" s="142"/>
      <c r="WQ8" s="142"/>
      <c r="WR8" s="142"/>
      <c r="WS8" s="142"/>
      <c r="WT8" s="142"/>
      <c r="WU8" s="142"/>
    </row>
    <row r="9" spans="1:619" s="2" customFormat="1" ht="75" customHeight="1" x14ac:dyDescent="0.2">
      <c r="A9" s="19" t="s">
        <v>0</v>
      </c>
      <c r="B9" s="146" t="s">
        <v>7</v>
      </c>
      <c r="C9" s="146" t="s">
        <v>9</v>
      </c>
      <c r="D9" s="146" t="s">
        <v>110</v>
      </c>
      <c r="E9" s="146" t="s">
        <v>111</v>
      </c>
      <c r="F9" s="146" t="s">
        <v>112</v>
      </c>
      <c r="G9" s="146" t="s">
        <v>113</v>
      </c>
      <c r="H9" s="146" t="s">
        <v>114</v>
      </c>
      <c r="I9" s="146" t="s">
        <v>115</v>
      </c>
      <c r="J9" s="146" t="s">
        <v>116</v>
      </c>
      <c r="K9" s="146" t="s">
        <v>117</v>
      </c>
      <c r="L9" s="146" t="s">
        <v>118</v>
      </c>
      <c r="M9" s="146" t="s">
        <v>119</v>
      </c>
      <c r="N9" s="146" t="s">
        <v>120</v>
      </c>
      <c r="O9" s="146" t="s">
        <v>122</v>
      </c>
      <c r="P9" s="296" t="s">
        <v>124</v>
      </c>
      <c r="Q9" s="153" t="s">
        <v>125</v>
      </c>
      <c r="R9" s="153" t="s">
        <v>226</v>
      </c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/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/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134"/>
      <c r="ND9" s="134"/>
      <c r="NE9" s="134"/>
      <c r="NF9" s="134"/>
      <c r="NG9" s="134"/>
      <c r="NH9" s="134"/>
      <c r="NI9" s="134"/>
      <c r="NJ9" s="134"/>
      <c r="NK9" s="134"/>
      <c r="NL9" s="134"/>
      <c r="NM9" s="134"/>
      <c r="NN9" s="134"/>
      <c r="NO9" s="134"/>
      <c r="NP9" s="134"/>
      <c r="NQ9" s="134"/>
      <c r="NR9" s="134"/>
      <c r="NS9" s="134"/>
      <c r="NT9" s="134"/>
      <c r="NU9" s="134"/>
      <c r="NV9" s="134"/>
      <c r="NW9" s="134"/>
      <c r="NX9" s="134"/>
      <c r="NY9" s="134"/>
      <c r="NZ9" s="134"/>
      <c r="OA9" s="134"/>
      <c r="OB9" s="134"/>
      <c r="OC9" s="134"/>
      <c r="OD9" s="134"/>
      <c r="OE9" s="134"/>
      <c r="OF9" s="134"/>
      <c r="OG9" s="134"/>
      <c r="OH9" s="134"/>
      <c r="OI9" s="134"/>
      <c r="OJ9" s="134"/>
      <c r="OK9" s="134"/>
      <c r="OL9" s="134"/>
      <c r="OM9" s="134"/>
      <c r="ON9" s="134"/>
      <c r="OO9" s="134"/>
      <c r="OP9" s="134"/>
      <c r="OQ9" s="134"/>
      <c r="OR9" s="134"/>
      <c r="OS9" s="134"/>
      <c r="OT9" s="134"/>
      <c r="OU9" s="134"/>
      <c r="OV9" s="134"/>
      <c r="OW9" s="134"/>
      <c r="OX9" s="134"/>
      <c r="OY9" s="134"/>
      <c r="OZ9" s="134"/>
      <c r="PA9" s="134"/>
      <c r="PB9" s="134"/>
      <c r="PC9" s="134"/>
      <c r="PD9" s="134"/>
      <c r="PE9" s="134"/>
      <c r="PF9" s="134"/>
      <c r="PG9" s="134"/>
      <c r="PH9" s="134"/>
      <c r="PI9" s="134"/>
      <c r="PJ9" s="134"/>
      <c r="PK9" s="134"/>
      <c r="PL9" s="134"/>
      <c r="PM9" s="134"/>
      <c r="PN9" s="134"/>
      <c r="PO9" s="134"/>
      <c r="PP9" s="134"/>
      <c r="PQ9" s="134"/>
      <c r="PR9" s="134"/>
      <c r="PS9" s="134"/>
      <c r="PT9" s="134"/>
      <c r="PU9" s="134"/>
      <c r="PV9" s="134"/>
      <c r="PW9" s="134"/>
      <c r="PX9" s="134"/>
      <c r="PY9" s="134"/>
      <c r="PZ9" s="134"/>
      <c r="QA9" s="134"/>
      <c r="QB9" s="134"/>
      <c r="QC9" s="134"/>
      <c r="QD9" s="134"/>
      <c r="QE9" s="134"/>
      <c r="QF9" s="134"/>
      <c r="QG9" s="134"/>
      <c r="QH9" s="134"/>
      <c r="QI9" s="134"/>
      <c r="QJ9" s="134"/>
      <c r="QK9" s="134"/>
      <c r="QL9" s="134"/>
      <c r="QM9" s="134"/>
      <c r="QN9" s="134"/>
      <c r="QO9" s="134"/>
      <c r="QP9" s="134"/>
      <c r="QQ9" s="134"/>
      <c r="QR9" s="134"/>
      <c r="QS9" s="134"/>
      <c r="QT9" s="134"/>
      <c r="QU9" s="134"/>
      <c r="QV9" s="134"/>
      <c r="QW9" s="134"/>
      <c r="QX9" s="134"/>
      <c r="QY9" s="134"/>
      <c r="QZ9" s="134"/>
      <c r="RA9" s="134"/>
      <c r="RB9" s="134"/>
      <c r="RC9" s="134"/>
      <c r="RD9" s="134"/>
      <c r="RE9" s="134"/>
      <c r="RF9" s="134"/>
      <c r="RG9" s="134"/>
      <c r="RH9" s="134"/>
      <c r="RI9" s="134"/>
      <c r="RJ9" s="134"/>
      <c r="RK9" s="134"/>
      <c r="RL9" s="134"/>
      <c r="RM9" s="134"/>
      <c r="RN9" s="134"/>
      <c r="RO9" s="134"/>
      <c r="RP9" s="134"/>
      <c r="RQ9" s="134"/>
      <c r="RR9" s="134"/>
      <c r="RS9" s="134"/>
      <c r="RT9" s="134"/>
      <c r="RU9" s="134"/>
      <c r="RV9" s="134"/>
      <c r="RW9" s="134"/>
      <c r="RX9" s="134"/>
      <c r="RY9" s="134"/>
      <c r="RZ9" s="134"/>
      <c r="SA9" s="134"/>
      <c r="SB9" s="134"/>
      <c r="SC9" s="134"/>
      <c r="SD9" s="134"/>
      <c r="SE9" s="134"/>
      <c r="SF9" s="134"/>
      <c r="SG9" s="134"/>
      <c r="SH9" s="134"/>
      <c r="SI9" s="134"/>
      <c r="SJ9" s="134"/>
      <c r="SK9" s="134"/>
      <c r="SL9" s="134"/>
      <c r="SM9" s="134"/>
      <c r="SN9" s="134"/>
      <c r="SO9" s="134"/>
      <c r="SP9" s="134"/>
      <c r="SQ9" s="134"/>
      <c r="SR9" s="134"/>
      <c r="SS9" s="134"/>
      <c r="ST9" s="134"/>
      <c r="SU9" s="134"/>
      <c r="SV9" s="134"/>
      <c r="SW9" s="134"/>
      <c r="SX9" s="134"/>
      <c r="SY9" s="134"/>
      <c r="SZ9" s="134"/>
      <c r="TA9" s="134"/>
      <c r="TB9" s="134"/>
      <c r="TC9" s="134"/>
      <c r="TD9" s="134"/>
      <c r="TE9" s="134"/>
      <c r="TF9" s="134"/>
      <c r="TG9" s="134"/>
      <c r="TH9" s="134"/>
      <c r="TI9" s="134"/>
      <c r="TJ9" s="134"/>
      <c r="TK9" s="134"/>
      <c r="TL9" s="142"/>
      <c r="TM9" s="142"/>
      <c r="TN9" s="142"/>
      <c r="TO9" s="142"/>
      <c r="TP9" s="142"/>
      <c r="TQ9" s="142"/>
      <c r="TR9" s="142"/>
      <c r="TS9" s="142"/>
      <c r="TT9" s="142"/>
      <c r="TU9" s="142"/>
      <c r="TV9" s="142"/>
      <c r="TW9" s="142"/>
      <c r="TX9" s="142"/>
      <c r="TY9" s="142"/>
      <c r="TZ9" s="142"/>
      <c r="UA9" s="142"/>
      <c r="UB9" s="142"/>
      <c r="UC9" s="142"/>
      <c r="UD9" s="142"/>
      <c r="UE9" s="142"/>
      <c r="UF9" s="142"/>
      <c r="UG9" s="142"/>
      <c r="UH9" s="142"/>
      <c r="UI9" s="142"/>
      <c r="UJ9" s="142"/>
      <c r="UK9" s="142"/>
      <c r="UL9" s="142"/>
      <c r="UM9" s="142"/>
      <c r="UN9" s="142"/>
      <c r="UO9" s="142"/>
      <c r="UP9" s="142"/>
      <c r="UQ9" s="142"/>
      <c r="UR9" s="142"/>
      <c r="US9" s="142"/>
      <c r="UT9" s="142"/>
      <c r="UU9" s="142"/>
      <c r="UV9" s="142"/>
      <c r="UW9" s="142"/>
      <c r="UX9" s="142"/>
      <c r="UY9" s="142"/>
      <c r="UZ9" s="142"/>
      <c r="VA9" s="142"/>
      <c r="VB9" s="142"/>
      <c r="VC9" s="142"/>
      <c r="VD9" s="142"/>
      <c r="VE9" s="142"/>
      <c r="VF9" s="142"/>
      <c r="VG9" s="142"/>
      <c r="VH9" s="142"/>
      <c r="VI9" s="142"/>
      <c r="VJ9" s="142"/>
      <c r="VK9" s="142"/>
      <c r="VL9" s="142"/>
      <c r="VM9" s="142"/>
      <c r="VN9" s="142"/>
      <c r="VO9" s="142"/>
      <c r="VP9" s="142"/>
      <c r="VQ9" s="142"/>
      <c r="VR9" s="142"/>
      <c r="VS9" s="142"/>
      <c r="VT9" s="142"/>
      <c r="VU9" s="142"/>
      <c r="VV9" s="142"/>
      <c r="VW9" s="142"/>
      <c r="VX9" s="142"/>
      <c r="VY9" s="142"/>
      <c r="VZ9" s="142"/>
      <c r="WA9" s="142"/>
      <c r="WB9" s="142"/>
      <c r="WC9" s="142"/>
      <c r="WD9" s="142"/>
      <c r="WE9" s="142"/>
      <c r="WF9" s="142"/>
      <c r="WG9" s="142"/>
      <c r="WH9" s="142"/>
      <c r="WI9" s="142"/>
      <c r="WJ9" s="142"/>
      <c r="WK9" s="142"/>
      <c r="WL9" s="142"/>
      <c r="WM9" s="142"/>
      <c r="WN9" s="142"/>
      <c r="WO9" s="142"/>
      <c r="WP9" s="142"/>
      <c r="WQ9" s="142"/>
      <c r="WR9" s="142"/>
      <c r="WS9" s="142"/>
      <c r="WT9" s="142"/>
      <c r="WU9" s="142"/>
    </row>
    <row r="10" spans="1:619" s="2" customFormat="1" ht="12.75" customHeight="1" x14ac:dyDescent="0.2">
      <c r="A10" s="22">
        <v>1</v>
      </c>
      <c r="B10" s="20" t="s">
        <v>24</v>
      </c>
      <c r="C10" s="20"/>
      <c r="D10" s="20"/>
      <c r="E10" s="20"/>
      <c r="F10" s="20"/>
      <c r="G10" s="20"/>
      <c r="H10" s="20"/>
      <c r="I10" s="102"/>
      <c r="J10" s="20"/>
      <c r="K10" s="104"/>
      <c r="L10" s="104"/>
      <c r="M10" s="133"/>
      <c r="N10" s="138"/>
      <c r="O10" s="102"/>
      <c r="P10" s="138"/>
      <c r="Q10" s="133"/>
      <c r="R10" s="133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4"/>
      <c r="IW10" s="134"/>
      <c r="IX10" s="134"/>
      <c r="IY10" s="134"/>
      <c r="IZ10" s="134"/>
      <c r="JA10" s="134"/>
      <c r="JB10" s="134"/>
      <c r="JC10" s="134"/>
      <c r="JD10" s="134"/>
      <c r="JE10" s="134"/>
      <c r="JF10" s="134"/>
      <c r="JG10" s="134"/>
      <c r="JH10" s="134"/>
      <c r="JI10" s="134"/>
      <c r="JJ10" s="134"/>
      <c r="JK10" s="134"/>
      <c r="JL10" s="134"/>
      <c r="JM10" s="134"/>
      <c r="JN10" s="134"/>
      <c r="JO10" s="134"/>
      <c r="JP10" s="134"/>
      <c r="JQ10" s="134"/>
      <c r="JR10" s="134"/>
      <c r="JS10" s="134"/>
      <c r="JT10" s="134"/>
      <c r="JU10" s="134"/>
      <c r="JV10" s="134"/>
      <c r="JW10" s="134"/>
      <c r="JX10" s="134"/>
      <c r="JY10" s="134"/>
      <c r="JZ10" s="134"/>
      <c r="KA10" s="134"/>
      <c r="KB10" s="134"/>
      <c r="KC10" s="134"/>
      <c r="KD10" s="134"/>
      <c r="KE10" s="134"/>
      <c r="KF10" s="134"/>
      <c r="KG10" s="134"/>
      <c r="KH10" s="134"/>
      <c r="KI10" s="134"/>
      <c r="KJ10" s="134"/>
      <c r="KK10" s="134"/>
      <c r="KL10" s="134"/>
      <c r="KM10" s="134"/>
      <c r="KN10" s="134"/>
      <c r="KO10" s="134"/>
      <c r="KP10" s="134"/>
      <c r="KQ10" s="134"/>
      <c r="KR10" s="134"/>
      <c r="KS10" s="134"/>
      <c r="KT10" s="134"/>
      <c r="KU10" s="134"/>
      <c r="KV10" s="134"/>
      <c r="KW10" s="134"/>
      <c r="KX10" s="134"/>
      <c r="KY10" s="134"/>
      <c r="KZ10" s="134"/>
      <c r="LA10" s="134"/>
      <c r="LB10" s="134"/>
      <c r="LC10" s="134"/>
      <c r="LD10" s="134"/>
      <c r="LE10" s="134"/>
      <c r="LF10" s="134"/>
      <c r="LG10" s="134"/>
      <c r="LH10" s="134"/>
      <c r="LI10" s="134"/>
      <c r="LJ10" s="134"/>
      <c r="LK10" s="134"/>
      <c r="LL10" s="134"/>
      <c r="LM10" s="134"/>
      <c r="LN10" s="134"/>
      <c r="LO10" s="134"/>
      <c r="LP10" s="134"/>
      <c r="LQ10" s="134"/>
      <c r="LR10" s="134"/>
      <c r="LS10" s="134"/>
      <c r="LT10" s="134"/>
      <c r="LU10" s="134"/>
      <c r="LV10" s="134"/>
      <c r="LW10" s="134"/>
      <c r="LX10" s="134"/>
      <c r="LY10" s="134"/>
      <c r="LZ10" s="134"/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4"/>
      <c r="NI10" s="134"/>
      <c r="NJ10" s="134"/>
      <c r="NK10" s="134"/>
      <c r="NL10" s="134"/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4"/>
      <c r="NX10" s="134"/>
      <c r="NY10" s="134"/>
      <c r="NZ10" s="134"/>
      <c r="OA10" s="134"/>
      <c r="OB10" s="134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4"/>
      <c r="PF10" s="134"/>
      <c r="PG10" s="134"/>
      <c r="PH10" s="134"/>
      <c r="PI10" s="134"/>
      <c r="PJ10" s="134"/>
      <c r="PK10" s="134"/>
      <c r="PL10" s="134"/>
      <c r="PM10" s="134"/>
      <c r="PN10" s="134"/>
      <c r="PO10" s="134"/>
      <c r="PP10" s="134"/>
      <c r="PQ10" s="134"/>
      <c r="PR10" s="134"/>
      <c r="PS10" s="134"/>
      <c r="PT10" s="134"/>
      <c r="PU10" s="134"/>
      <c r="PV10" s="134"/>
      <c r="PW10" s="134"/>
      <c r="PX10" s="134"/>
      <c r="PY10" s="134"/>
      <c r="PZ10" s="134"/>
      <c r="QA10" s="134"/>
      <c r="QB10" s="134"/>
      <c r="QC10" s="134"/>
      <c r="QD10" s="134"/>
      <c r="QE10" s="134"/>
      <c r="QF10" s="134"/>
      <c r="QG10" s="134"/>
      <c r="QH10" s="134"/>
      <c r="QI10" s="134"/>
      <c r="QJ10" s="134"/>
      <c r="QK10" s="134"/>
      <c r="QL10" s="134"/>
      <c r="QM10" s="134"/>
      <c r="QN10" s="134"/>
      <c r="QO10" s="134"/>
      <c r="QP10" s="134"/>
      <c r="QQ10" s="134"/>
      <c r="QR10" s="134"/>
      <c r="QS10" s="134"/>
      <c r="QT10" s="134"/>
      <c r="QU10" s="134"/>
      <c r="QV10" s="134"/>
      <c r="QW10" s="134"/>
      <c r="QX10" s="134"/>
      <c r="QY10" s="134"/>
      <c r="QZ10" s="134"/>
      <c r="RA10" s="134"/>
      <c r="RB10" s="134"/>
      <c r="RC10" s="134"/>
      <c r="RD10" s="134"/>
      <c r="RE10" s="134"/>
      <c r="RF10" s="134"/>
      <c r="RG10" s="134"/>
      <c r="RH10" s="134"/>
      <c r="RI10" s="134"/>
      <c r="RJ10" s="134"/>
      <c r="RK10" s="134"/>
      <c r="RL10" s="134"/>
      <c r="RM10" s="134"/>
      <c r="RN10" s="134"/>
      <c r="RO10" s="134"/>
      <c r="RP10" s="134"/>
      <c r="RQ10" s="134"/>
      <c r="RR10" s="134"/>
      <c r="RS10" s="134"/>
      <c r="RT10" s="134"/>
      <c r="RU10" s="134"/>
      <c r="RV10" s="134"/>
      <c r="RW10" s="134"/>
      <c r="RX10" s="134"/>
      <c r="RY10" s="134"/>
      <c r="RZ10" s="134"/>
      <c r="SA10" s="134"/>
      <c r="SB10" s="134"/>
      <c r="SC10" s="134"/>
      <c r="SD10" s="134"/>
      <c r="SE10" s="134"/>
      <c r="SF10" s="134"/>
      <c r="SG10" s="134"/>
      <c r="SH10" s="134"/>
      <c r="SI10" s="134"/>
      <c r="SJ10" s="134"/>
      <c r="SK10" s="134"/>
      <c r="SL10" s="134"/>
      <c r="SM10" s="134"/>
      <c r="SN10" s="134"/>
      <c r="SO10" s="134"/>
      <c r="SP10" s="134"/>
      <c r="SQ10" s="134"/>
      <c r="SR10" s="134"/>
      <c r="SS10" s="134"/>
      <c r="ST10" s="134"/>
      <c r="SU10" s="134"/>
      <c r="SV10" s="134"/>
      <c r="SW10" s="134"/>
      <c r="SX10" s="134"/>
      <c r="SY10" s="134"/>
      <c r="SZ10" s="134"/>
      <c r="TA10" s="134"/>
      <c r="TB10" s="134"/>
      <c r="TC10" s="134"/>
      <c r="TD10" s="134"/>
      <c r="TE10" s="134"/>
      <c r="TF10" s="134"/>
      <c r="TG10" s="134"/>
      <c r="TH10" s="134"/>
      <c r="TI10" s="134"/>
      <c r="TJ10" s="134"/>
      <c r="TK10" s="134"/>
      <c r="TL10" s="142"/>
      <c r="TM10" s="142"/>
      <c r="TN10" s="142"/>
      <c r="TO10" s="142"/>
      <c r="TP10" s="142"/>
      <c r="TQ10" s="142"/>
      <c r="TR10" s="142"/>
      <c r="TS10" s="142"/>
      <c r="TT10" s="142"/>
      <c r="TU10" s="142"/>
      <c r="TV10" s="142"/>
      <c r="TW10" s="142"/>
      <c r="TX10" s="142"/>
      <c r="TY10" s="142"/>
      <c r="TZ10" s="142"/>
      <c r="UA10" s="142"/>
      <c r="UB10" s="142"/>
      <c r="UC10" s="142"/>
      <c r="UD10" s="142"/>
      <c r="UE10" s="142"/>
      <c r="UF10" s="142"/>
      <c r="UG10" s="142"/>
      <c r="UH10" s="142"/>
      <c r="UI10" s="142"/>
      <c r="UJ10" s="142"/>
      <c r="UK10" s="142"/>
      <c r="UL10" s="142"/>
      <c r="UM10" s="142"/>
      <c r="UN10" s="142"/>
      <c r="UO10" s="142"/>
      <c r="UP10" s="142"/>
      <c r="UQ10" s="142"/>
      <c r="UR10" s="142"/>
      <c r="US10" s="142"/>
      <c r="UT10" s="142"/>
      <c r="UU10" s="142"/>
      <c r="UV10" s="142"/>
      <c r="UW10" s="142"/>
      <c r="UX10" s="142"/>
      <c r="UY10" s="142"/>
      <c r="UZ10" s="142"/>
      <c r="VA10" s="142"/>
      <c r="VB10" s="142"/>
      <c r="VC10" s="142"/>
      <c r="VD10" s="142"/>
      <c r="VE10" s="142"/>
      <c r="VF10" s="142"/>
      <c r="VG10" s="142"/>
      <c r="VH10" s="142"/>
      <c r="VI10" s="142"/>
      <c r="VJ10" s="142"/>
      <c r="VK10" s="142"/>
      <c r="VL10" s="142"/>
      <c r="VM10" s="142"/>
      <c r="VN10" s="142"/>
      <c r="VO10" s="142"/>
      <c r="VP10" s="142"/>
      <c r="VQ10" s="142"/>
      <c r="VR10" s="142"/>
      <c r="VS10" s="142"/>
      <c r="VT10" s="142"/>
      <c r="VU10" s="142"/>
      <c r="VV10" s="142"/>
      <c r="VW10" s="142"/>
      <c r="VX10" s="142"/>
      <c r="VY10" s="142"/>
      <c r="VZ10" s="142"/>
      <c r="WA10" s="142"/>
      <c r="WB10" s="142"/>
      <c r="WC10" s="142"/>
      <c r="WD10" s="142"/>
      <c r="WE10" s="142"/>
      <c r="WF10" s="142"/>
      <c r="WG10" s="142"/>
      <c r="WH10" s="142"/>
      <c r="WI10" s="142"/>
      <c r="WJ10" s="142"/>
      <c r="WK10" s="142"/>
      <c r="WL10" s="142"/>
      <c r="WM10" s="142"/>
      <c r="WN10" s="142"/>
      <c r="WO10" s="142"/>
      <c r="WP10" s="142"/>
      <c r="WQ10" s="142"/>
      <c r="WR10" s="142"/>
      <c r="WS10" s="142"/>
      <c r="WT10" s="142"/>
      <c r="WU10" s="142"/>
    </row>
    <row r="11" spans="1:619" s="145" customFormat="1" ht="12.75" customHeight="1" x14ac:dyDescent="0.25">
      <c r="A11" s="152"/>
      <c r="B11" s="169" t="s">
        <v>201</v>
      </c>
      <c r="C11" s="155"/>
      <c r="D11" s="153"/>
      <c r="E11" s="153"/>
      <c r="F11" s="153"/>
      <c r="G11" s="153"/>
      <c r="H11" s="153"/>
      <c r="I11" s="153"/>
      <c r="J11" s="153"/>
      <c r="K11" s="154"/>
      <c r="L11" s="154"/>
      <c r="M11" s="154"/>
      <c r="N11" s="162"/>
      <c r="O11" s="153"/>
      <c r="P11" s="279"/>
      <c r="Q11" s="153"/>
      <c r="R11" s="153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  <c r="IN11" s="160"/>
      <c r="IO11" s="160"/>
      <c r="IP11" s="160"/>
      <c r="IQ11" s="160"/>
      <c r="IR11" s="160"/>
      <c r="IS11" s="160"/>
      <c r="IT11" s="160"/>
      <c r="IU11" s="160"/>
      <c r="IV11" s="160"/>
      <c r="IW11" s="160"/>
      <c r="IX11" s="160"/>
      <c r="IY11" s="160"/>
      <c r="IZ11" s="160"/>
      <c r="JA11" s="160"/>
      <c r="JB11" s="160"/>
      <c r="JC11" s="160"/>
      <c r="JD11" s="160"/>
      <c r="JE11" s="160"/>
      <c r="JF11" s="160"/>
      <c r="JG11" s="160"/>
      <c r="JH11" s="160"/>
      <c r="JI11" s="160"/>
      <c r="JJ11" s="160"/>
      <c r="JK11" s="160"/>
      <c r="JL11" s="160"/>
      <c r="JM11" s="160"/>
      <c r="JN11" s="160"/>
      <c r="JO11" s="160"/>
      <c r="JP11" s="160"/>
      <c r="JQ11" s="160"/>
      <c r="JR11" s="160"/>
      <c r="JS11" s="160"/>
      <c r="JT11" s="160"/>
      <c r="JU11" s="160"/>
      <c r="JV11" s="160"/>
      <c r="JW11" s="160"/>
      <c r="JX11" s="160"/>
      <c r="JY11" s="160"/>
      <c r="JZ11" s="160"/>
      <c r="KA11" s="160"/>
      <c r="KB11" s="160"/>
      <c r="KC11" s="160"/>
      <c r="KD11" s="160"/>
      <c r="KE11" s="160"/>
      <c r="KF11" s="160"/>
      <c r="KG11" s="160"/>
      <c r="KH11" s="160"/>
      <c r="KI11" s="160"/>
      <c r="KJ11" s="160"/>
      <c r="KK11" s="160"/>
      <c r="KL11" s="160"/>
      <c r="KM11" s="160"/>
      <c r="KN11" s="160"/>
      <c r="KO11" s="160"/>
      <c r="KP11" s="160"/>
      <c r="KQ11" s="160"/>
      <c r="KR11" s="160"/>
      <c r="KS11" s="160"/>
      <c r="KT11" s="160"/>
      <c r="KU11" s="160"/>
      <c r="KV11" s="160"/>
      <c r="KW11" s="160"/>
      <c r="KX11" s="160"/>
      <c r="KY11" s="160"/>
      <c r="KZ11" s="160"/>
      <c r="LA11" s="160"/>
      <c r="LB11" s="160"/>
      <c r="LC11" s="160"/>
      <c r="LD11" s="160"/>
      <c r="LE11" s="160"/>
      <c r="LF11" s="160"/>
      <c r="LG11" s="160"/>
      <c r="LH11" s="160"/>
      <c r="LI11" s="160"/>
      <c r="LJ11" s="160"/>
      <c r="LK11" s="160"/>
      <c r="LL11" s="160"/>
      <c r="LM11" s="160"/>
      <c r="LN11" s="160"/>
      <c r="LO11" s="160"/>
      <c r="LP11" s="160"/>
      <c r="LQ11" s="160"/>
      <c r="LR11" s="160"/>
      <c r="LS11" s="160"/>
      <c r="LT11" s="160"/>
      <c r="LU11" s="160"/>
      <c r="LV11" s="160"/>
      <c r="LW11" s="160"/>
      <c r="LX11" s="160"/>
      <c r="LY11" s="160"/>
      <c r="LZ11" s="160"/>
      <c r="MA11" s="160"/>
      <c r="MB11" s="160"/>
      <c r="MC11" s="160"/>
      <c r="MD11" s="160"/>
      <c r="ME11" s="160"/>
      <c r="MF11" s="160"/>
      <c r="MG11" s="160"/>
      <c r="MH11" s="160"/>
      <c r="MI11" s="160"/>
      <c r="MJ11" s="160"/>
      <c r="MK11" s="160"/>
      <c r="ML11" s="160"/>
      <c r="MM11" s="160"/>
      <c r="MN11" s="160"/>
      <c r="MO11" s="160"/>
      <c r="MP11" s="160"/>
      <c r="MQ11" s="160"/>
      <c r="MR11" s="160"/>
      <c r="MS11" s="160"/>
      <c r="MT11" s="160"/>
      <c r="MU11" s="160"/>
      <c r="MV11" s="160"/>
      <c r="MW11" s="160"/>
      <c r="MX11" s="160"/>
      <c r="MY11" s="160"/>
      <c r="MZ11" s="160"/>
      <c r="NA11" s="160"/>
      <c r="NB11" s="160"/>
      <c r="NC11" s="160"/>
      <c r="ND11" s="160"/>
      <c r="NE11" s="160"/>
      <c r="NF11" s="160"/>
      <c r="NG11" s="160"/>
      <c r="NH11" s="160"/>
      <c r="NI11" s="160"/>
      <c r="NJ11" s="160"/>
      <c r="NK11" s="160"/>
      <c r="NL11" s="160"/>
      <c r="NM11" s="160"/>
      <c r="NN11" s="160"/>
      <c r="NO11" s="160"/>
      <c r="NP11" s="160"/>
      <c r="NQ11" s="160"/>
      <c r="NR11" s="160"/>
      <c r="NS11" s="160"/>
      <c r="NT11" s="160"/>
      <c r="NU11" s="160"/>
      <c r="NV11" s="160"/>
      <c r="NW11" s="160"/>
      <c r="NX11" s="160"/>
      <c r="NY11" s="160"/>
      <c r="NZ11" s="160"/>
      <c r="OA11" s="160"/>
      <c r="OB11" s="160"/>
      <c r="OC11" s="160"/>
      <c r="OD11" s="160"/>
      <c r="OE11" s="160"/>
      <c r="OF11" s="160"/>
      <c r="OG11" s="160"/>
      <c r="OH11" s="160"/>
      <c r="OI11" s="160"/>
      <c r="OJ11" s="160"/>
      <c r="OK11" s="160"/>
      <c r="OL11" s="160"/>
      <c r="OM11" s="160"/>
      <c r="ON11" s="160"/>
      <c r="OO11" s="160"/>
      <c r="OP11" s="160"/>
      <c r="OQ11" s="160"/>
      <c r="OR11" s="160"/>
      <c r="OS11" s="160"/>
      <c r="OT11" s="160"/>
      <c r="OU11" s="160"/>
      <c r="OV11" s="160"/>
      <c r="OW11" s="160"/>
      <c r="OX11" s="160"/>
      <c r="OY11" s="160"/>
      <c r="OZ11" s="160"/>
      <c r="PA11" s="160"/>
      <c r="PB11" s="160"/>
      <c r="PC11" s="160"/>
      <c r="PD11" s="160"/>
      <c r="PE11" s="160"/>
      <c r="PF11" s="160"/>
      <c r="PG11" s="160"/>
      <c r="PH11" s="160"/>
      <c r="PI11" s="160"/>
      <c r="PJ11" s="160"/>
      <c r="PK11" s="160"/>
      <c r="PL11" s="160"/>
      <c r="PM11" s="160"/>
      <c r="PN11" s="160"/>
      <c r="PO11" s="160"/>
      <c r="PP11" s="160"/>
      <c r="PQ11" s="160"/>
      <c r="PR11" s="160"/>
      <c r="PS11" s="160"/>
      <c r="PT11" s="160"/>
      <c r="PU11" s="160"/>
      <c r="PV11" s="160"/>
      <c r="PW11" s="160"/>
      <c r="PX11" s="160"/>
      <c r="PY11" s="160"/>
      <c r="PZ11" s="160"/>
      <c r="QA11" s="160"/>
      <c r="QB11" s="160"/>
      <c r="QC11" s="160"/>
      <c r="QD11" s="160"/>
      <c r="QE11" s="160"/>
      <c r="QF11" s="160"/>
      <c r="QG11" s="160"/>
      <c r="QH11" s="160"/>
      <c r="QI11" s="160"/>
      <c r="QJ11" s="160"/>
      <c r="QK11" s="160"/>
      <c r="QL11" s="160"/>
      <c r="QM11" s="160"/>
      <c r="QN11" s="160"/>
      <c r="QO11" s="160"/>
      <c r="QP11" s="160"/>
      <c r="QQ11" s="160"/>
      <c r="QR11" s="160"/>
      <c r="QS11" s="160"/>
      <c r="QT11" s="160"/>
      <c r="QU11" s="160"/>
      <c r="QV11" s="160"/>
      <c r="QW11" s="160"/>
      <c r="QX11" s="160"/>
      <c r="QY11" s="160"/>
      <c r="QZ11" s="160"/>
      <c r="RA11" s="160"/>
      <c r="RB11" s="160"/>
      <c r="RC11" s="160"/>
      <c r="RD11" s="160"/>
      <c r="RE11" s="160"/>
      <c r="RF11" s="160"/>
      <c r="RG11" s="160"/>
      <c r="RH11" s="160"/>
      <c r="RI11" s="160"/>
      <c r="RJ11" s="160"/>
      <c r="RK11" s="160"/>
      <c r="RL11" s="160"/>
      <c r="RM11" s="160"/>
      <c r="RN11" s="160"/>
      <c r="RO11" s="160"/>
      <c r="RP11" s="160"/>
      <c r="RQ11" s="160"/>
      <c r="RR11" s="160"/>
      <c r="RS11" s="160"/>
      <c r="RT11" s="160"/>
      <c r="RU11" s="160"/>
      <c r="RV11" s="160"/>
      <c r="RW11" s="160"/>
      <c r="RX11" s="160"/>
      <c r="RY11" s="160"/>
      <c r="RZ11" s="160"/>
      <c r="SA11" s="160"/>
      <c r="SB11" s="160"/>
      <c r="SC11" s="160"/>
      <c r="SD11" s="160"/>
      <c r="SE11" s="160"/>
      <c r="SF11" s="160"/>
      <c r="SG11" s="160"/>
      <c r="SH11" s="160"/>
      <c r="SI11" s="160"/>
      <c r="SJ11" s="160"/>
      <c r="SK11" s="160"/>
      <c r="SL11" s="160"/>
      <c r="SM11" s="160"/>
      <c r="SN11" s="160"/>
      <c r="SO11" s="160"/>
      <c r="SP11" s="160"/>
      <c r="SQ11" s="160"/>
      <c r="SR11" s="160"/>
      <c r="SS11" s="160"/>
      <c r="ST11" s="160"/>
      <c r="SU11" s="160"/>
      <c r="SV11" s="160"/>
      <c r="SW11" s="160"/>
      <c r="SX11" s="160"/>
      <c r="SY11" s="160"/>
      <c r="SZ11" s="160"/>
      <c r="TA11" s="160"/>
      <c r="TB11" s="160"/>
      <c r="TC11" s="160"/>
      <c r="TD11" s="160"/>
      <c r="TE11" s="160"/>
      <c r="TF11" s="160"/>
      <c r="TG11" s="160"/>
      <c r="TH11" s="160"/>
      <c r="TI11" s="160"/>
      <c r="TJ11" s="160"/>
      <c r="TK11" s="160"/>
      <c r="TL11" s="142"/>
      <c r="TM11" s="142"/>
      <c r="TN11" s="142"/>
      <c r="TO11" s="142"/>
      <c r="TP11" s="142"/>
      <c r="TQ11" s="142"/>
      <c r="TR11" s="142"/>
      <c r="TS11" s="142"/>
      <c r="TT11" s="142"/>
      <c r="TU11" s="142"/>
      <c r="TV11" s="142"/>
      <c r="TW11" s="142"/>
      <c r="TX11" s="142"/>
      <c r="TY11" s="142"/>
      <c r="TZ11" s="142"/>
      <c r="UA11" s="142"/>
      <c r="UB11" s="142"/>
      <c r="UC11" s="142"/>
      <c r="UD11" s="142"/>
      <c r="UE11" s="142"/>
      <c r="UF11" s="142"/>
      <c r="UG11" s="142"/>
      <c r="UH11" s="142"/>
      <c r="UI11" s="142"/>
      <c r="UJ11" s="142"/>
      <c r="UK11" s="142"/>
      <c r="UL11" s="142"/>
      <c r="UM11" s="142"/>
      <c r="UN11" s="142"/>
      <c r="UO11" s="142"/>
      <c r="UP11" s="142"/>
      <c r="UQ11" s="142"/>
      <c r="UR11" s="142"/>
      <c r="US11" s="142"/>
      <c r="UT11" s="142"/>
      <c r="UU11" s="142"/>
      <c r="UV11" s="142"/>
      <c r="UW11" s="142"/>
      <c r="UX11" s="142"/>
      <c r="UY11" s="142"/>
      <c r="UZ11" s="142"/>
      <c r="VA11" s="142"/>
      <c r="VB11" s="142"/>
      <c r="VC11" s="142"/>
      <c r="VD11" s="142"/>
      <c r="VE11" s="142"/>
      <c r="VF11" s="142"/>
      <c r="VG11" s="142"/>
      <c r="VH11" s="142"/>
      <c r="VI11" s="142"/>
      <c r="VJ11" s="142"/>
      <c r="VK11" s="142"/>
      <c r="VL11" s="142"/>
      <c r="VM11" s="142"/>
      <c r="VN11" s="142"/>
      <c r="VO11" s="142"/>
      <c r="VP11" s="142"/>
      <c r="VQ11" s="142"/>
      <c r="VR11" s="142"/>
      <c r="VS11" s="142"/>
      <c r="VT11" s="142"/>
      <c r="VU11" s="142"/>
      <c r="VV11" s="142"/>
      <c r="VW11" s="142"/>
      <c r="VX11" s="142"/>
      <c r="VY11" s="142"/>
      <c r="VZ11" s="142"/>
      <c r="WA11" s="142"/>
      <c r="WB11" s="142"/>
      <c r="WC11" s="142"/>
      <c r="WD11" s="142"/>
      <c r="WE11" s="142"/>
      <c r="WF11" s="142"/>
      <c r="WG11" s="142"/>
      <c r="WH11" s="142"/>
      <c r="WI11" s="142"/>
      <c r="WJ11" s="142"/>
      <c r="WK11" s="142"/>
      <c r="WL11" s="142"/>
      <c r="WM11" s="142"/>
      <c r="WN11" s="142"/>
      <c r="WO11" s="142"/>
      <c r="WP11" s="142"/>
      <c r="WQ11" s="142"/>
      <c r="WR11" s="142"/>
      <c r="WS11" s="142"/>
      <c r="WT11" s="142"/>
      <c r="WU11" s="142"/>
    </row>
    <row r="12" spans="1:619" s="166" customFormat="1" ht="12.75" customHeight="1" x14ac:dyDescent="0.25">
      <c r="A12" s="22" t="s">
        <v>126</v>
      </c>
      <c r="B12" s="311" t="s">
        <v>215</v>
      </c>
      <c r="C12" s="312">
        <v>176</v>
      </c>
      <c r="D12" s="159">
        <v>8.43</v>
      </c>
      <c r="E12" s="159">
        <f>D12-1</f>
        <v>7.43</v>
      </c>
      <c r="F12" s="147">
        <f>C12*D12</f>
        <v>1483.6799999999998</v>
      </c>
      <c r="G12" s="147">
        <f>E12*C12</f>
        <v>1307.6799999999998</v>
      </c>
      <c r="H12" s="156">
        <v>2</v>
      </c>
      <c r="I12" s="156">
        <v>1</v>
      </c>
      <c r="J12" s="156">
        <v>17.260000000000002</v>
      </c>
      <c r="K12" s="157">
        <v>8</v>
      </c>
      <c r="L12" s="158">
        <f>C12*2</f>
        <v>352</v>
      </c>
      <c r="M12" s="313">
        <v>0</v>
      </c>
      <c r="N12" s="161">
        <v>11</v>
      </c>
      <c r="O12" s="159">
        <f>C12*2</f>
        <v>352</v>
      </c>
      <c r="P12" s="161">
        <v>11</v>
      </c>
      <c r="Q12" s="158">
        <f>C12*2</f>
        <v>352</v>
      </c>
      <c r="R12" s="158">
        <v>11</v>
      </c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</row>
    <row r="13" spans="1:619" s="166" customFormat="1" ht="12.75" customHeight="1" x14ac:dyDescent="0.25">
      <c r="A13" s="22"/>
      <c r="B13" s="311" t="s">
        <v>216</v>
      </c>
      <c r="C13" s="312">
        <v>63</v>
      </c>
      <c r="D13" s="159">
        <v>10.23</v>
      </c>
      <c r="E13" s="159">
        <f t="shared" ref="E13:E16" si="0">D13-1</f>
        <v>9.23</v>
      </c>
      <c r="F13" s="147">
        <f t="shared" ref="F13:F19" si="1">C13*D13</f>
        <v>644.49</v>
      </c>
      <c r="G13" s="147">
        <f t="shared" ref="G13:G16" si="2">E13*C13</f>
        <v>581.49</v>
      </c>
      <c r="H13" s="156">
        <v>2</v>
      </c>
      <c r="I13" s="156" t="s">
        <v>165</v>
      </c>
      <c r="J13" s="156">
        <v>17.260000000000002</v>
      </c>
      <c r="K13" s="157">
        <v>4</v>
      </c>
      <c r="L13" s="158">
        <f t="shared" ref="L13:L16" si="3">C13*2</f>
        <v>126</v>
      </c>
      <c r="M13" s="313">
        <v>0</v>
      </c>
      <c r="N13" s="161">
        <v>0</v>
      </c>
      <c r="O13" s="159">
        <f t="shared" ref="O13:O16" si="4">C13*2</f>
        <v>126</v>
      </c>
      <c r="P13" s="161">
        <f t="shared" ref="P13:P17" si="5">N13</f>
        <v>0</v>
      </c>
      <c r="Q13" s="158">
        <f t="shared" ref="Q13:Q16" si="6">C13*2</f>
        <v>126</v>
      </c>
      <c r="R13" s="158">
        <v>0</v>
      </c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</row>
    <row r="14" spans="1:619" s="166" customFormat="1" ht="12.75" customHeight="1" x14ac:dyDescent="0.25">
      <c r="A14" s="22"/>
      <c r="B14" s="311" t="s">
        <v>217</v>
      </c>
      <c r="C14" s="312">
        <v>63</v>
      </c>
      <c r="D14" s="159">
        <v>10.43</v>
      </c>
      <c r="E14" s="159">
        <f t="shared" si="0"/>
        <v>9.43</v>
      </c>
      <c r="F14" s="147">
        <f t="shared" si="1"/>
        <v>657.09</v>
      </c>
      <c r="G14" s="147">
        <f t="shared" si="2"/>
        <v>594.09</v>
      </c>
      <c r="H14" s="156">
        <v>1</v>
      </c>
      <c r="I14" s="156" t="s">
        <v>165</v>
      </c>
      <c r="J14" s="156">
        <v>17.260000000000002</v>
      </c>
      <c r="K14" s="157">
        <v>4</v>
      </c>
      <c r="L14" s="158">
        <f t="shared" si="3"/>
        <v>126</v>
      </c>
      <c r="M14" s="313">
        <v>0</v>
      </c>
      <c r="N14" s="161">
        <v>0</v>
      </c>
      <c r="O14" s="159">
        <f t="shared" si="4"/>
        <v>126</v>
      </c>
      <c r="P14" s="161">
        <f t="shared" si="5"/>
        <v>0</v>
      </c>
      <c r="Q14" s="158">
        <f t="shared" si="6"/>
        <v>126</v>
      </c>
      <c r="R14" s="158">
        <v>0</v>
      </c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</row>
    <row r="15" spans="1:619" s="166" customFormat="1" ht="12.75" customHeight="1" x14ac:dyDescent="0.25">
      <c r="A15" s="22"/>
      <c r="B15" s="311" t="s">
        <v>218</v>
      </c>
      <c r="C15" s="312">
        <v>63</v>
      </c>
      <c r="D15" s="159">
        <v>9.58</v>
      </c>
      <c r="E15" s="159">
        <f t="shared" si="0"/>
        <v>8.58</v>
      </c>
      <c r="F15" s="147">
        <f t="shared" si="1"/>
        <v>603.54</v>
      </c>
      <c r="G15" s="147">
        <f t="shared" si="2"/>
        <v>540.54</v>
      </c>
      <c r="H15" s="156">
        <v>2</v>
      </c>
      <c r="I15" s="156" t="s">
        <v>165</v>
      </c>
      <c r="J15" s="156">
        <v>17.260000000000002</v>
      </c>
      <c r="K15" s="157">
        <v>4</v>
      </c>
      <c r="L15" s="158">
        <f t="shared" si="3"/>
        <v>126</v>
      </c>
      <c r="M15" s="313">
        <v>0</v>
      </c>
      <c r="N15" s="161">
        <v>0</v>
      </c>
      <c r="O15" s="159">
        <f t="shared" si="4"/>
        <v>126</v>
      </c>
      <c r="P15" s="161">
        <f t="shared" si="5"/>
        <v>0</v>
      </c>
      <c r="Q15" s="158">
        <f t="shared" si="6"/>
        <v>126</v>
      </c>
      <c r="R15" s="158">
        <v>0</v>
      </c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</row>
    <row r="16" spans="1:619" s="166" customFormat="1" ht="12.75" customHeight="1" x14ac:dyDescent="0.25">
      <c r="A16" s="22"/>
      <c r="B16" s="311" t="s">
        <v>219</v>
      </c>
      <c r="C16" s="312">
        <v>63</v>
      </c>
      <c r="D16" s="159">
        <v>10.38</v>
      </c>
      <c r="E16" s="159">
        <f t="shared" si="0"/>
        <v>9.3800000000000008</v>
      </c>
      <c r="F16" s="147">
        <f t="shared" si="1"/>
        <v>653.94000000000005</v>
      </c>
      <c r="G16" s="147">
        <f t="shared" si="2"/>
        <v>590.94000000000005</v>
      </c>
      <c r="H16" s="156">
        <v>2</v>
      </c>
      <c r="I16" s="156">
        <v>1</v>
      </c>
      <c r="J16" s="156">
        <v>17.260000000000002</v>
      </c>
      <c r="K16" s="157">
        <v>4</v>
      </c>
      <c r="L16" s="158">
        <f t="shared" si="3"/>
        <v>126</v>
      </c>
      <c r="M16" s="313">
        <v>0</v>
      </c>
      <c r="N16" s="161">
        <v>0</v>
      </c>
      <c r="O16" s="159">
        <f t="shared" si="4"/>
        <v>126</v>
      </c>
      <c r="P16" s="161">
        <f t="shared" si="5"/>
        <v>0</v>
      </c>
      <c r="Q16" s="158">
        <f t="shared" si="6"/>
        <v>126</v>
      </c>
      <c r="R16" s="158">
        <v>0</v>
      </c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</row>
    <row r="17" spans="1:619" s="293" customFormat="1" ht="12.75" customHeight="1" x14ac:dyDescent="0.2">
      <c r="A17" s="314"/>
      <c r="B17" s="315" t="s">
        <v>220</v>
      </c>
      <c r="C17" s="316">
        <f>SUM(C12:C16)</f>
        <v>428</v>
      </c>
      <c r="D17" s="317"/>
      <c r="E17" s="317"/>
      <c r="F17" s="316">
        <f>SUM(F12:F16)</f>
        <v>4042.7400000000002</v>
      </c>
      <c r="G17" s="316">
        <f t="shared" ref="G17:H17" si="7">SUM(G12:G16)</f>
        <v>3614.74</v>
      </c>
      <c r="H17" s="316">
        <f t="shared" si="7"/>
        <v>9</v>
      </c>
      <c r="I17" s="316">
        <f t="shared" ref="I17" si="8">SUM(I12:I16)</f>
        <v>2</v>
      </c>
      <c r="J17" s="316">
        <f t="shared" ref="J17:K17" si="9">SUM(J12:J16)</f>
        <v>86.300000000000011</v>
      </c>
      <c r="K17" s="316">
        <f t="shared" si="9"/>
        <v>24</v>
      </c>
      <c r="L17" s="316">
        <f>SUM(L12:L16)</f>
        <v>856</v>
      </c>
      <c r="M17" s="313"/>
      <c r="N17" s="318">
        <v>0</v>
      </c>
      <c r="O17" s="316">
        <f>SUM(O12:O16)</f>
        <v>856</v>
      </c>
      <c r="P17" s="318">
        <f t="shared" si="5"/>
        <v>0</v>
      </c>
      <c r="Q17" s="316">
        <f>SUM(Q12:Q16)</f>
        <v>856</v>
      </c>
      <c r="R17" s="316">
        <f>SUM(R12:R16)</f>
        <v>11</v>
      </c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  <c r="AP17" s="292"/>
      <c r="AQ17" s="292"/>
      <c r="AR17" s="292"/>
      <c r="AS17" s="292"/>
      <c r="AT17" s="292"/>
      <c r="AU17" s="292"/>
      <c r="AV17" s="292"/>
      <c r="AW17" s="292"/>
      <c r="AX17" s="292"/>
      <c r="AY17" s="292"/>
      <c r="AZ17" s="292"/>
      <c r="BA17" s="292"/>
      <c r="BB17" s="292"/>
      <c r="BC17" s="292"/>
      <c r="BD17" s="292"/>
      <c r="BE17" s="292"/>
      <c r="BF17" s="292"/>
      <c r="BG17" s="292"/>
      <c r="BH17" s="292"/>
      <c r="BI17" s="292"/>
      <c r="BJ17" s="292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292"/>
      <c r="BW17" s="292"/>
      <c r="BX17" s="292"/>
      <c r="BY17" s="292"/>
      <c r="BZ17" s="292"/>
      <c r="CA17" s="292"/>
      <c r="CB17" s="292"/>
      <c r="CC17" s="292"/>
      <c r="CD17" s="292"/>
      <c r="CE17" s="292"/>
      <c r="CF17" s="292"/>
      <c r="CG17" s="292"/>
      <c r="CH17" s="292"/>
      <c r="CI17" s="292"/>
      <c r="CJ17" s="292"/>
      <c r="CK17" s="292"/>
      <c r="CL17" s="292"/>
      <c r="CM17" s="292"/>
      <c r="CN17" s="292"/>
      <c r="CO17" s="292"/>
      <c r="CP17" s="292"/>
      <c r="CQ17" s="292"/>
      <c r="CR17" s="292"/>
      <c r="CS17" s="292"/>
      <c r="CT17" s="292"/>
      <c r="CU17" s="292"/>
      <c r="CV17" s="292"/>
      <c r="CW17" s="292"/>
      <c r="CX17" s="292"/>
      <c r="CY17" s="292"/>
      <c r="CZ17" s="292"/>
      <c r="DA17" s="292"/>
      <c r="DB17" s="292"/>
      <c r="DC17" s="292"/>
      <c r="DD17" s="292"/>
      <c r="DE17" s="292"/>
      <c r="DF17" s="292"/>
      <c r="DG17" s="292"/>
      <c r="DH17" s="292"/>
      <c r="DI17" s="292"/>
      <c r="DJ17" s="292"/>
      <c r="DK17" s="292"/>
      <c r="DL17" s="292"/>
      <c r="DM17" s="292"/>
      <c r="DN17" s="292"/>
      <c r="DO17" s="292"/>
      <c r="DP17" s="292"/>
      <c r="DQ17" s="292"/>
      <c r="DR17" s="292"/>
      <c r="DS17" s="292"/>
      <c r="DT17" s="292"/>
      <c r="DU17" s="292"/>
      <c r="DV17" s="292"/>
      <c r="DW17" s="292"/>
      <c r="DX17" s="292"/>
      <c r="DY17" s="292"/>
      <c r="DZ17" s="292"/>
      <c r="EA17" s="292"/>
      <c r="EB17" s="292"/>
      <c r="EC17" s="292"/>
      <c r="ED17" s="292"/>
      <c r="EE17" s="292"/>
      <c r="EF17" s="292"/>
      <c r="EG17" s="292"/>
      <c r="EH17" s="292"/>
      <c r="EI17" s="292"/>
      <c r="EJ17" s="292"/>
      <c r="EK17" s="292"/>
      <c r="EL17" s="292"/>
      <c r="EM17" s="292"/>
      <c r="EN17" s="292"/>
      <c r="EO17" s="292"/>
      <c r="EP17" s="292"/>
      <c r="EQ17" s="292"/>
      <c r="ER17" s="292"/>
      <c r="ES17" s="292"/>
      <c r="ET17" s="292"/>
      <c r="EU17" s="292"/>
      <c r="EV17" s="292"/>
      <c r="EW17" s="292"/>
      <c r="EX17" s="292"/>
      <c r="EY17" s="292"/>
    </row>
    <row r="18" spans="1:619" s="166" customFormat="1" ht="12.75" customHeight="1" x14ac:dyDescent="0.25">
      <c r="A18" s="22" t="s">
        <v>126</v>
      </c>
      <c r="B18" s="311" t="s">
        <v>202</v>
      </c>
      <c r="C18" s="312">
        <f>222.2-20</f>
        <v>202.2</v>
      </c>
      <c r="D18" s="159">
        <v>8.5500000000000007</v>
      </c>
      <c r="E18" s="159">
        <f t="shared" ref="E18:E19" si="10">D18-1</f>
        <v>7.5500000000000007</v>
      </c>
      <c r="F18" s="147">
        <f t="shared" si="1"/>
        <v>1728.81</v>
      </c>
      <c r="G18" s="147">
        <f t="shared" ref="G18:G19" si="11">E18*C18</f>
        <v>1526.6100000000001</v>
      </c>
      <c r="H18" s="156">
        <v>3</v>
      </c>
      <c r="I18" s="156">
        <v>2</v>
      </c>
      <c r="J18" s="156">
        <v>43.15</v>
      </c>
      <c r="K18" s="157">
        <v>12</v>
      </c>
      <c r="L18" s="158">
        <f t="shared" ref="L18:L19" si="12">C18*2</f>
        <v>404.4</v>
      </c>
      <c r="M18" s="313">
        <v>0</v>
      </c>
      <c r="N18" s="161">
        <v>0</v>
      </c>
      <c r="O18" s="159">
        <f t="shared" ref="O18:O19" si="13">C18*2</f>
        <v>404.4</v>
      </c>
      <c r="P18" s="161">
        <f>N18</f>
        <v>0</v>
      </c>
      <c r="Q18" s="158">
        <f t="shared" ref="Q18:Q19" si="14">C18*2</f>
        <v>404.4</v>
      </c>
      <c r="R18" s="158">
        <v>0</v>
      </c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  <c r="DO18" s="160"/>
      <c r="DP18" s="160"/>
      <c r="DQ18" s="160"/>
      <c r="DR18" s="160"/>
      <c r="DS18" s="160"/>
      <c r="DT18" s="160"/>
      <c r="DU18" s="160"/>
      <c r="DV18" s="160"/>
      <c r="DW18" s="160"/>
      <c r="DX18" s="160"/>
      <c r="DY18" s="160"/>
      <c r="DZ18" s="160"/>
      <c r="EA18" s="160"/>
      <c r="EB18" s="160"/>
      <c r="EC18" s="160"/>
      <c r="ED18" s="160"/>
      <c r="EE18" s="160"/>
      <c r="EF18" s="160"/>
      <c r="EG18" s="160"/>
      <c r="EH18" s="160"/>
      <c r="EI18" s="160"/>
      <c r="EJ18" s="160"/>
      <c r="EK18" s="160"/>
      <c r="EL18" s="160"/>
      <c r="EM18" s="160"/>
      <c r="EN18" s="160"/>
      <c r="EO18" s="160"/>
      <c r="EP18" s="160"/>
      <c r="EQ18" s="160"/>
      <c r="ER18" s="160"/>
      <c r="ES18" s="160"/>
      <c r="ET18" s="160"/>
      <c r="EU18" s="160"/>
      <c r="EV18" s="160"/>
      <c r="EW18" s="160"/>
      <c r="EX18" s="160"/>
      <c r="EY18" s="160"/>
    </row>
    <row r="19" spans="1:619" s="166" customFormat="1" ht="12.75" customHeight="1" x14ac:dyDescent="0.25">
      <c r="A19" s="22" t="s">
        <v>126</v>
      </c>
      <c r="B19" s="311" t="s">
        <v>203</v>
      </c>
      <c r="C19" s="312">
        <v>96.1</v>
      </c>
      <c r="D19" s="159">
        <v>7.55</v>
      </c>
      <c r="E19" s="159">
        <f t="shared" si="10"/>
        <v>6.55</v>
      </c>
      <c r="F19" s="147">
        <f t="shared" si="1"/>
        <v>725.55499999999995</v>
      </c>
      <c r="G19" s="147">
        <f t="shared" si="11"/>
        <v>629.45499999999993</v>
      </c>
      <c r="H19" s="156">
        <v>1</v>
      </c>
      <c r="I19" s="156">
        <v>2</v>
      </c>
      <c r="J19" s="156">
        <v>8.6300000000000008</v>
      </c>
      <c r="K19" s="157">
        <v>4</v>
      </c>
      <c r="L19" s="158">
        <f t="shared" si="12"/>
        <v>192.2</v>
      </c>
      <c r="M19" s="313">
        <v>0</v>
      </c>
      <c r="N19" s="161">
        <v>0</v>
      </c>
      <c r="O19" s="159">
        <f t="shared" si="13"/>
        <v>192.2</v>
      </c>
      <c r="P19" s="161">
        <f>N19</f>
        <v>0</v>
      </c>
      <c r="Q19" s="158">
        <f t="shared" si="14"/>
        <v>192.2</v>
      </c>
      <c r="R19" s="158">
        <v>0</v>
      </c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  <c r="DT19" s="160"/>
      <c r="DU19" s="160"/>
      <c r="DV19" s="160"/>
      <c r="DW19" s="160"/>
      <c r="DX19" s="160"/>
      <c r="DY19" s="160"/>
      <c r="DZ19" s="160"/>
      <c r="EA19" s="160"/>
      <c r="EB19" s="160"/>
      <c r="EC19" s="160"/>
      <c r="ED19" s="160"/>
      <c r="EE19" s="160"/>
      <c r="EF19" s="160"/>
      <c r="EG19" s="160"/>
      <c r="EH19" s="160"/>
      <c r="EI19" s="160"/>
      <c r="EJ19" s="160"/>
      <c r="EK19" s="160"/>
      <c r="EL19" s="160"/>
      <c r="EM19" s="160"/>
      <c r="EN19" s="160"/>
      <c r="EO19" s="160"/>
      <c r="EP19" s="160"/>
      <c r="EQ19" s="160"/>
      <c r="ER19" s="160"/>
      <c r="ES19" s="160"/>
      <c r="ET19" s="160"/>
      <c r="EU19" s="160"/>
      <c r="EV19" s="160"/>
      <c r="EW19" s="160"/>
      <c r="EX19" s="160"/>
      <c r="EY19" s="160"/>
    </row>
    <row r="20" spans="1:619" s="166" customFormat="1" ht="12.75" customHeight="1" x14ac:dyDescent="0.25">
      <c r="A20" s="22" t="s">
        <v>126</v>
      </c>
      <c r="B20" s="311" t="s">
        <v>221</v>
      </c>
      <c r="C20" s="312">
        <v>138</v>
      </c>
      <c r="D20" s="159">
        <v>8.8000000000000007</v>
      </c>
      <c r="E20" s="159">
        <f t="shared" ref="E20" si="15">D20-1</f>
        <v>7.8000000000000007</v>
      </c>
      <c r="F20" s="147">
        <f t="shared" ref="F20" si="16">C20*D20</f>
        <v>1214.4000000000001</v>
      </c>
      <c r="G20" s="147">
        <f t="shared" ref="G20" si="17">E20*C20</f>
        <v>1076.4000000000001</v>
      </c>
      <c r="H20" s="156">
        <v>2</v>
      </c>
      <c r="I20" s="156">
        <v>2</v>
      </c>
      <c r="J20" s="156">
        <v>17.260000000000002</v>
      </c>
      <c r="K20" s="157">
        <v>8</v>
      </c>
      <c r="L20" s="158">
        <f t="shared" ref="L20" si="18">C20*2</f>
        <v>276</v>
      </c>
      <c r="M20" s="313">
        <v>0</v>
      </c>
      <c r="N20" s="161">
        <v>11</v>
      </c>
      <c r="O20" s="159">
        <f t="shared" ref="O20" si="19">C20*2</f>
        <v>276</v>
      </c>
      <c r="P20" s="161">
        <f>N20</f>
        <v>11</v>
      </c>
      <c r="Q20" s="158">
        <f t="shared" ref="Q20" si="20">C20*2</f>
        <v>276</v>
      </c>
      <c r="R20" s="158">
        <v>11</v>
      </c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0"/>
      <c r="DL20" s="160"/>
      <c r="DM20" s="160"/>
      <c r="DN20" s="160"/>
      <c r="DO20" s="160"/>
      <c r="DP20" s="160"/>
      <c r="DQ20" s="160"/>
      <c r="DR20" s="160"/>
      <c r="DS20" s="160"/>
      <c r="DT20" s="160"/>
      <c r="DU20" s="160"/>
      <c r="DV20" s="160"/>
      <c r="DW20" s="160"/>
      <c r="DX20" s="160"/>
      <c r="DY20" s="160"/>
      <c r="DZ20" s="160"/>
      <c r="EA20" s="160"/>
      <c r="EB20" s="160"/>
      <c r="EC20" s="160"/>
      <c r="ED20" s="160"/>
      <c r="EE20" s="160"/>
      <c r="EF20" s="160"/>
      <c r="EG20" s="160"/>
      <c r="EH20" s="160"/>
      <c r="EI20" s="160"/>
      <c r="EJ20" s="160"/>
      <c r="EK20" s="160"/>
      <c r="EL20" s="160"/>
      <c r="EM20" s="160"/>
      <c r="EN20" s="160"/>
      <c r="EO20" s="160"/>
      <c r="EP20" s="160"/>
      <c r="EQ20" s="160"/>
      <c r="ER20" s="160"/>
      <c r="ES20" s="160"/>
      <c r="ET20" s="160"/>
      <c r="EU20" s="160"/>
      <c r="EV20" s="160"/>
      <c r="EW20" s="160"/>
      <c r="EX20" s="160"/>
      <c r="EY20" s="160"/>
    </row>
    <row r="21" spans="1:619" s="166" customFormat="1" ht="12.75" customHeight="1" x14ac:dyDescent="0.25">
      <c r="A21" s="22"/>
      <c r="B21" s="311"/>
      <c r="C21" s="312"/>
      <c r="D21" s="159"/>
      <c r="E21" s="159"/>
      <c r="F21" s="147"/>
      <c r="G21" s="147"/>
      <c r="H21" s="156"/>
      <c r="I21" s="156"/>
      <c r="J21" s="156"/>
      <c r="K21" s="157"/>
      <c r="L21" s="158"/>
      <c r="M21" s="313"/>
      <c r="N21" s="161"/>
      <c r="O21" s="159"/>
      <c r="P21" s="161"/>
      <c r="Q21" s="158"/>
      <c r="R21" s="158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  <c r="DX21" s="160"/>
      <c r="DY21" s="160"/>
      <c r="DZ21" s="160"/>
      <c r="EA21" s="160"/>
      <c r="EB21" s="160"/>
      <c r="EC21" s="160"/>
      <c r="ED21" s="160"/>
      <c r="EE21" s="160"/>
      <c r="EF21" s="160"/>
      <c r="EG21" s="160"/>
      <c r="EH21" s="160"/>
      <c r="EI21" s="160"/>
      <c r="EJ21" s="160"/>
      <c r="EK21" s="160"/>
      <c r="EL21" s="160"/>
      <c r="EM21" s="160"/>
      <c r="EN21" s="160"/>
      <c r="EO21" s="160"/>
      <c r="EP21" s="160"/>
      <c r="EQ21" s="160"/>
      <c r="ER21" s="160"/>
      <c r="ES21" s="160"/>
      <c r="ET21" s="160"/>
      <c r="EU21" s="160"/>
      <c r="EV21" s="160"/>
      <c r="EW21" s="160"/>
      <c r="EX21" s="160"/>
      <c r="EY21" s="160"/>
    </row>
    <row r="22" spans="1:619" s="166" customFormat="1" ht="12.75" customHeight="1" x14ac:dyDescent="0.25">
      <c r="A22" s="152"/>
      <c r="B22" s="169" t="s">
        <v>222</v>
      </c>
      <c r="C22" s="155"/>
      <c r="D22" s="153"/>
      <c r="E22" s="153"/>
      <c r="F22" s="153"/>
      <c r="G22" s="153"/>
      <c r="H22" s="153"/>
      <c r="I22" s="153"/>
      <c r="J22" s="153"/>
      <c r="K22" s="154"/>
      <c r="L22" s="154"/>
      <c r="M22" s="154"/>
      <c r="N22" s="162"/>
      <c r="O22" s="153"/>
      <c r="P22" s="279"/>
      <c r="Q22" s="153"/>
      <c r="R22" s="153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  <c r="DO22" s="160"/>
      <c r="DP22" s="160"/>
      <c r="DQ22" s="160"/>
      <c r="DR22" s="160"/>
      <c r="DS22" s="160"/>
      <c r="DT22" s="160"/>
      <c r="DU22" s="160"/>
      <c r="DV22" s="160"/>
      <c r="DW22" s="160"/>
      <c r="DX22" s="160"/>
      <c r="DY22" s="160"/>
      <c r="DZ22" s="160"/>
      <c r="EA22" s="160"/>
      <c r="EB22" s="160"/>
      <c r="EC22" s="160"/>
      <c r="ED22" s="160"/>
      <c r="EE22" s="160"/>
      <c r="EF22" s="160"/>
      <c r="EG22" s="160"/>
      <c r="EH22" s="160"/>
      <c r="EI22" s="160"/>
      <c r="EJ22" s="160"/>
      <c r="EK22" s="160"/>
      <c r="EL22" s="160"/>
      <c r="EM22" s="160"/>
      <c r="EN22" s="160"/>
      <c r="EO22" s="160"/>
      <c r="EP22" s="160"/>
      <c r="EQ22" s="160"/>
      <c r="ER22" s="160"/>
      <c r="ES22" s="160"/>
      <c r="ET22" s="160"/>
      <c r="EU22" s="160"/>
      <c r="EV22" s="160"/>
      <c r="EW22" s="160"/>
      <c r="EX22" s="160"/>
      <c r="EY22" s="160"/>
    </row>
    <row r="23" spans="1:619" s="166" customFormat="1" ht="12.75" customHeight="1" x14ac:dyDescent="0.25">
      <c r="A23" s="22" t="s">
        <v>126</v>
      </c>
      <c r="B23" s="311" t="s">
        <v>223</v>
      </c>
      <c r="C23" s="312">
        <v>63</v>
      </c>
      <c r="D23" s="159">
        <v>7</v>
      </c>
      <c r="E23" s="159">
        <f>D23-1</f>
        <v>6</v>
      </c>
      <c r="F23" s="147">
        <f>C23*D23</f>
        <v>441</v>
      </c>
      <c r="G23" s="147">
        <f>E23*C23</f>
        <v>378</v>
      </c>
      <c r="H23" s="156">
        <v>0</v>
      </c>
      <c r="I23" s="156">
        <v>1</v>
      </c>
      <c r="J23" s="156">
        <v>0</v>
      </c>
      <c r="K23" s="157">
        <v>4</v>
      </c>
      <c r="L23" s="158">
        <f>C23*2</f>
        <v>126</v>
      </c>
      <c r="M23" s="313">
        <v>0</v>
      </c>
      <c r="N23" s="161">
        <v>0</v>
      </c>
      <c r="O23" s="159">
        <f>C23*2</f>
        <v>126</v>
      </c>
      <c r="P23" s="161">
        <f>N23</f>
        <v>0</v>
      </c>
      <c r="Q23" s="158">
        <f>C23*2</f>
        <v>126</v>
      </c>
      <c r="R23" s="158">
        <v>0</v>
      </c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  <c r="DT23" s="160"/>
      <c r="DU23" s="160"/>
      <c r="DV23" s="160"/>
      <c r="DW23" s="160"/>
      <c r="DX23" s="160"/>
      <c r="DY23" s="160"/>
      <c r="DZ23" s="160"/>
      <c r="EA23" s="160"/>
      <c r="EB23" s="160"/>
      <c r="EC23" s="160"/>
      <c r="ED23" s="160"/>
      <c r="EE23" s="160"/>
      <c r="EF23" s="160"/>
      <c r="EG23" s="160"/>
      <c r="EH23" s="160"/>
      <c r="EI23" s="160"/>
      <c r="EJ23" s="160"/>
      <c r="EK23" s="160"/>
      <c r="EL23" s="160"/>
      <c r="EM23" s="160"/>
      <c r="EN23" s="160"/>
      <c r="EO23" s="160"/>
      <c r="EP23" s="160"/>
      <c r="EQ23" s="160"/>
      <c r="ER23" s="160"/>
      <c r="ES23" s="160"/>
      <c r="ET23" s="160"/>
      <c r="EU23" s="160"/>
      <c r="EV23" s="160"/>
      <c r="EW23" s="160"/>
      <c r="EX23" s="160"/>
      <c r="EY23" s="160"/>
    </row>
    <row r="24" spans="1:619" s="163" customFormat="1" ht="12.75" customHeight="1" x14ac:dyDescent="0.25">
      <c r="A24" s="22" t="s">
        <v>126</v>
      </c>
      <c r="B24" s="311" t="s">
        <v>225</v>
      </c>
      <c r="C24" s="312">
        <v>14</v>
      </c>
      <c r="D24" s="159">
        <v>4.8</v>
      </c>
      <c r="E24" s="159">
        <f>D24-1</f>
        <v>3.8</v>
      </c>
      <c r="F24" s="147">
        <f t="shared" ref="F24:F25" si="21">C24*D24</f>
        <v>67.2</v>
      </c>
      <c r="G24" s="147">
        <f t="shared" ref="G24:G25" si="22">E24*C24</f>
        <v>53.199999999999996</v>
      </c>
      <c r="H24" s="156">
        <v>0</v>
      </c>
      <c r="I24" s="156">
        <v>0</v>
      </c>
      <c r="J24" s="156">
        <v>0</v>
      </c>
      <c r="K24" s="157">
        <v>2</v>
      </c>
      <c r="L24" s="158">
        <f>C24*2</f>
        <v>28</v>
      </c>
      <c r="M24" s="313">
        <v>0</v>
      </c>
      <c r="N24" s="161">
        <v>9</v>
      </c>
      <c r="O24" s="159">
        <f>C24*2</f>
        <v>28</v>
      </c>
      <c r="P24" s="161">
        <f>N24</f>
        <v>9</v>
      </c>
      <c r="Q24" s="158">
        <f>(C24*2)</f>
        <v>28</v>
      </c>
      <c r="R24" s="158">
        <v>9</v>
      </c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0"/>
      <c r="CU24" s="160"/>
      <c r="CV24" s="160"/>
      <c r="CW24" s="160"/>
      <c r="CX24" s="160"/>
      <c r="CY24" s="160"/>
      <c r="CZ24" s="160"/>
      <c r="DA24" s="160"/>
      <c r="DB24" s="160"/>
      <c r="DC24" s="160"/>
      <c r="DD24" s="160"/>
      <c r="DE24" s="160"/>
      <c r="DF24" s="160"/>
      <c r="DG24" s="160"/>
      <c r="DH24" s="160"/>
      <c r="DI24" s="160"/>
      <c r="DJ24" s="160"/>
      <c r="DK24" s="160"/>
      <c r="DL24" s="160"/>
      <c r="DM24" s="160"/>
      <c r="DN24" s="160"/>
      <c r="DO24" s="160"/>
      <c r="DP24" s="160"/>
      <c r="DQ24" s="160"/>
      <c r="DR24" s="160"/>
      <c r="DS24" s="160"/>
      <c r="DT24" s="160"/>
      <c r="DU24" s="160"/>
      <c r="DV24" s="160"/>
      <c r="DW24" s="160"/>
      <c r="DX24" s="160"/>
      <c r="DY24" s="160"/>
      <c r="DZ24" s="160"/>
      <c r="EA24" s="160"/>
      <c r="EB24" s="160"/>
      <c r="EC24" s="160"/>
      <c r="ED24" s="160"/>
      <c r="EE24" s="160"/>
      <c r="EF24" s="160"/>
      <c r="EG24" s="160"/>
      <c r="EH24" s="160"/>
      <c r="EI24" s="160"/>
      <c r="EJ24" s="160"/>
      <c r="EK24" s="160"/>
      <c r="EL24" s="160"/>
      <c r="EM24" s="160"/>
      <c r="EN24" s="160"/>
      <c r="EO24" s="160"/>
      <c r="EP24" s="160"/>
      <c r="EQ24" s="160"/>
      <c r="ER24" s="160"/>
      <c r="ES24" s="160"/>
      <c r="ET24" s="160"/>
      <c r="EU24" s="160"/>
      <c r="EV24" s="160"/>
      <c r="EW24" s="160"/>
      <c r="EX24" s="160"/>
      <c r="EY24" s="160"/>
      <c r="EZ24" s="160"/>
      <c r="FA24" s="160"/>
      <c r="FB24" s="160"/>
      <c r="FC24" s="160"/>
      <c r="FD24" s="160"/>
      <c r="FE24" s="160"/>
      <c r="FF24" s="160"/>
      <c r="FG24" s="160"/>
      <c r="FH24" s="160"/>
      <c r="FI24" s="160"/>
      <c r="FJ24" s="160"/>
      <c r="FK24" s="160"/>
      <c r="FL24" s="160"/>
      <c r="FM24" s="160"/>
      <c r="FN24" s="160"/>
      <c r="FO24" s="160"/>
      <c r="FP24" s="160"/>
      <c r="FQ24" s="160"/>
      <c r="FR24" s="160"/>
      <c r="FS24" s="160"/>
      <c r="FT24" s="160"/>
      <c r="FU24" s="160"/>
      <c r="FV24" s="160"/>
      <c r="FW24" s="160"/>
      <c r="FX24" s="160"/>
      <c r="FY24" s="160"/>
      <c r="FZ24" s="160"/>
      <c r="GA24" s="160"/>
      <c r="GB24" s="160"/>
      <c r="GC24" s="160"/>
      <c r="GD24" s="160"/>
      <c r="GE24" s="160"/>
      <c r="GF24" s="160"/>
      <c r="GG24" s="160"/>
      <c r="GH24" s="160"/>
      <c r="GI24" s="160"/>
      <c r="GJ24" s="160"/>
      <c r="GK24" s="160"/>
      <c r="GL24" s="160"/>
      <c r="GM24" s="160"/>
      <c r="GN24" s="160"/>
      <c r="GO24" s="160"/>
      <c r="GP24" s="160"/>
      <c r="GQ24" s="160"/>
      <c r="GR24" s="160"/>
      <c r="GS24" s="160"/>
      <c r="GT24" s="160"/>
      <c r="GU24" s="160"/>
      <c r="GV24" s="160"/>
      <c r="GW24" s="160"/>
      <c r="GX24" s="160"/>
      <c r="GY24" s="160"/>
      <c r="GZ24" s="160"/>
      <c r="HA24" s="160"/>
      <c r="HB24" s="160"/>
      <c r="HC24" s="160"/>
      <c r="HD24" s="160"/>
      <c r="HE24" s="160"/>
      <c r="HF24" s="160"/>
      <c r="HG24" s="160"/>
      <c r="HH24" s="160"/>
      <c r="HI24" s="160"/>
      <c r="HJ24" s="160"/>
      <c r="HK24" s="160"/>
      <c r="HL24" s="160"/>
      <c r="HM24" s="160"/>
      <c r="HN24" s="160"/>
      <c r="HO24" s="160"/>
      <c r="HP24" s="160"/>
      <c r="HQ24" s="160"/>
      <c r="HR24" s="160"/>
      <c r="HS24" s="160"/>
      <c r="HT24" s="160"/>
      <c r="HU24" s="160"/>
      <c r="HV24" s="160"/>
      <c r="HW24" s="160"/>
      <c r="HX24" s="160"/>
      <c r="HY24" s="160"/>
      <c r="HZ24" s="160"/>
      <c r="IA24" s="160"/>
      <c r="IB24" s="160"/>
      <c r="IC24" s="160"/>
      <c r="ID24" s="160"/>
      <c r="IE24" s="160"/>
      <c r="IF24" s="160"/>
      <c r="IG24" s="160"/>
      <c r="IH24" s="160"/>
      <c r="II24" s="160"/>
      <c r="IJ24" s="160"/>
      <c r="IK24" s="160"/>
      <c r="IL24" s="160"/>
      <c r="IM24" s="160"/>
      <c r="IN24" s="160"/>
      <c r="IO24" s="160"/>
      <c r="IP24" s="160"/>
      <c r="IQ24" s="160"/>
      <c r="IR24" s="160"/>
      <c r="IS24" s="160"/>
      <c r="IT24" s="160"/>
      <c r="IU24" s="160"/>
      <c r="IV24" s="160"/>
      <c r="IW24" s="160"/>
      <c r="IX24" s="160"/>
      <c r="IY24" s="160"/>
      <c r="IZ24" s="160"/>
      <c r="JA24" s="160"/>
      <c r="JB24" s="160"/>
      <c r="JC24" s="160"/>
      <c r="JD24" s="160"/>
      <c r="JE24" s="160"/>
      <c r="JF24" s="160"/>
      <c r="JG24" s="160"/>
      <c r="JH24" s="160"/>
      <c r="JI24" s="160"/>
      <c r="JJ24" s="160"/>
      <c r="JK24" s="160"/>
      <c r="JL24" s="160"/>
      <c r="JM24" s="160"/>
      <c r="JN24" s="160"/>
      <c r="JO24" s="160"/>
      <c r="JP24" s="160"/>
      <c r="JQ24" s="160"/>
      <c r="JR24" s="160"/>
      <c r="JS24" s="160"/>
      <c r="JT24" s="160"/>
      <c r="JU24" s="160"/>
      <c r="JV24" s="160"/>
      <c r="JW24" s="160"/>
      <c r="JX24" s="160"/>
      <c r="JY24" s="160"/>
      <c r="JZ24" s="160"/>
      <c r="KA24" s="160"/>
      <c r="KB24" s="160"/>
      <c r="KC24" s="160"/>
      <c r="KD24" s="160"/>
      <c r="KE24" s="160"/>
      <c r="KF24" s="160"/>
      <c r="KG24" s="160"/>
      <c r="KH24" s="160"/>
      <c r="KI24" s="160"/>
      <c r="KJ24" s="160"/>
      <c r="KK24" s="160"/>
      <c r="KL24" s="160"/>
      <c r="KM24" s="160"/>
      <c r="KN24" s="160"/>
      <c r="KO24" s="160"/>
      <c r="KP24" s="160"/>
      <c r="KQ24" s="160"/>
      <c r="KR24" s="160"/>
      <c r="KS24" s="160"/>
      <c r="KT24" s="160"/>
      <c r="KU24" s="160"/>
      <c r="KV24" s="160"/>
      <c r="KW24" s="160"/>
      <c r="KX24" s="160"/>
      <c r="KY24" s="160"/>
      <c r="KZ24" s="160"/>
      <c r="LA24" s="160"/>
      <c r="LB24" s="160"/>
      <c r="LC24" s="160"/>
      <c r="LD24" s="160"/>
      <c r="LE24" s="160"/>
      <c r="LF24" s="160"/>
      <c r="LG24" s="160"/>
      <c r="LH24" s="160"/>
      <c r="LI24" s="160"/>
      <c r="LJ24" s="160"/>
      <c r="LK24" s="160"/>
      <c r="LL24" s="160"/>
      <c r="LM24" s="160"/>
      <c r="LN24" s="160"/>
      <c r="LO24" s="160"/>
      <c r="LP24" s="160"/>
      <c r="LQ24" s="160"/>
      <c r="LR24" s="160"/>
      <c r="LS24" s="160"/>
      <c r="LT24" s="160"/>
      <c r="LU24" s="160"/>
      <c r="LV24" s="160"/>
      <c r="LW24" s="160"/>
      <c r="LX24" s="160"/>
      <c r="LY24" s="160"/>
      <c r="LZ24" s="160"/>
      <c r="MA24" s="160"/>
      <c r="MB24" s="160"/>
      <c r="MC24" s="160"/>
      <c r="MD24" s="160"/>
      <c r="ME24" s="160"/>
      <c r="MF24" s="160"/>
      <c r="MG24" s="160"/>
      <c r="MH24" s="160"/>
      <c r="MI24" s="160"/>
      <c r="MJ24" s="160"/>
      <c r="MK24" s="160"/>
      <c r="ML24" s="160"/>
      <c r="MM24" s="160"/>
      <c r="MN24" s="160"/>
      <c r="MO24" s="160"/>
      <c r="MP24" s="160"/>
      <c r="MQ24" s="160"/>
      <c r="MR24" s="160"/>
      <c r="MS24" s="160"/>
      <c r="MT24" s="160"/>
      <c r="MU24" s="160"/>
      <c r="MV24" s="160"/>
      <c r="MW24" s="160"/>
      <c r="MX24" s="160"/>
      <c r="MY24" s="160"/>
      <c r="MZ24" s="160"/>
      <c r="NA24" s="160"/>
      <c r="NB24" s="160"/>
      <c r="NC24" s="160"/>
      <c r="ND24" s="160"/>
      <c r="NE24" s="160"/>
      <c r="NF24" s="160"/>
      <c r="NG24" s="160"/>
      <c r="NH24" s="160"/>
      <c r="NI24" s="160"/>
      <c r="NJ24" s="160"/>
      <c r="NK24" s="160"/>
      <c r="NL24" s="160"/>
      <c r="NM24" s="160"/>
      <c r="NN24" s="160"/>
      <c r="NO24" s="160"/>
      <c r="NP24" s="160"/>
      <c r="NQ24" s="160"/>
      <c r="NR24" s="160"/>
      <c r="NS24" s="160"/>
      <c r="NT24" s="160"/>
      <c r="NU24" s="160"/>
      <c r="NV24" s="160"/>
      <c r="NW24" s="160"/>
      <c r="NX24" s="160"/>
      <c r="NY24" s="160"/>
      <c r="NZ24" s="160"/>
      <c r="OA24" s="160"/>
      <c r="OB24" s="160"/>
      <c r="OC24" s="160"/>
      <c r="OD24" s="160"/>
      <c r="OE24" s="160"/>
      <c r="OF24" s="160"/>
      <c r="OG24" s="160"/>
      <c r="OH24" s="160"/>
      <c r="OI24" s="160"/>
      <c r="OJ24" s="160"/>
      <c r="OK24" s="160"/>
      <c r="OL24" s="160"/>
      <c r="OM24" s="160"/>
      <c r="ON24" s="160"/>
      <c r="OO24" s="160"/>
      <c r="OP24" s="160"/>
      <c r="OQ24" s="160"/>
      <c r="OR24" s="160"/>
      <c r="OS24" s="160"/>
      <c r="OT24" s="160"/>
      <c r="OU24" s="160"/>
      <c r="OV24" s="160"/>
      <c r="OW24" s="160"/>
      <c r="OX24" s="160"/>
      <c r="OY24" s="160"/>
      <c r="OZ24" s="160"/>
      <c r="PA24" s="160"/>
      <c r="PB24" s="160"/>
      <c r="PC24" s="160"/>
      <c r="PD24" s="160"/>
      <c r="PE24" s="160"/>
      <c r="PF24" s="160"/>
      <c r="PG24" s="160"/>
      <c r="PH24" s="160"/>
      <c r="PI24" s="160"/>
      <c r="PJ24" s="160"/>
      <c r="PK24" s="160"/>
      <c r="PL24" s="160"/>
      <c r="PM24" s="160"/>
      <c r="PN24" s="160"/>
      <c r="PO24" s="160"/>
      <c r="PP24" s="160"/>
      <c r="PQ24" s="160"/>
      <c r="PR24" s="160"/>
      <c r="PS24" s="160"/>
      <c r="PT24" s="160"/>
      <c r="PU24" s="160"/>
      <c r="PV24" s="160"/>
      <c r="PW24" s="160"/>
      <c r="PX24" s="160"/>
      <c r="PY24" s="160"/>
      <c r="PZ24" s="160"/>
      <c r="QA24" s="160"/>
      <c r="QB24" s="160"/>
      <c r="QC24" s="160"/>
      <c r="QD24" s="160"/>
      <c r="QE24" s="160"/>
      <c r="QF24" s="160"/>
      <c r="QG24" s="160"/>
      <c r="QH24" s="160"/>
      <c r="QI24" s="160"/>
      <c r="QJ24" s="160"/>
      <c r="QK24" s="160"/>
      <c r="QL24" s="160"/>
      <c r="QM24" s="160"/>
      <c r="QN24" s="160"/>
      <c r="QO24" s="160"/>
      <c r="QP24" s="160"/>
      <c r="QQ24" s="160"/>
      <c r="QR24" s="160"/>
      <c r="QS24" s="160"/>
      <c r="QT24" s="160"/>
      <c r="QU24" s="160"/>
      <c r="QV24" s="160"/>
      <c r="QW24" s="160"/>
      <c r="QX24" s="160"/>
      <c r="QY24" s="160"/>
      <c r="QZ24" s="160"/>
      <c r="RA24" s="160"/>
      <c r="RB24" s="160"/>
      <c r="RC24" s="160"/>
      <c r="RD24" s="160"/>
      <c r="RE24" s="160"/>
      <c r="RF24" s="160"/>
      <c r="RG24" s="160"/>
      <c r="RH24" s="160"/>
      <c r="RI24" s="160"/>
      <c r="RJ24" s="160"/>
      <c r="RK24" s="160"/>
      <c r="RL24" s="160"/>
      <c r="RM24" s="160"/>
      <c r="RN24" s="160"/>
      <c r="RO24" s="160"/>
      <c r="RP24" s="160"/>
      <c r="RQ24" s="160"/>
      <c r="RR24" s="160"/>
      <c r="RS24" s="160"/>
      <c r="RT24" s="160"/>
      <c r="RU24" s="160"/>
      <c r="RV24" s="160"/>
      <c r="RW24" s="160"/>
      <c r="RX24" s="160"/>
      <c r="RY24" s="160"/>
      <c r="RZ24" s="160"/>
      <c r="SA24" s="160"/>
      <c r="SB24" s="160"/>
      <c r="SC24" s="160"/>
      <c r="SD24" s="160"/>
      <c r="SE24" s="160"/>
      <c r="SF24" s="160"/>
      <c r="SG24" s="160"/>
      <c r="SH24" s="160"/>
      <c r="SI24" s="160"/>
      <c r="SJ24" s="160"/>
      <c r="SK24" s="160"/>
      <c r="SL24" s="160"/>
      <c r="SM24" s="160"/>
      <c r="SN24" s="160"/>
      <c r="SO24" s="160"/>
      <c r="SP24" s="160"/>
      <c r="SQ24" s="160"/>
      <c r="SR24" s="160"/>
      <c r="SS24" s="160"/>
      <c r="ST24" s="160"/>
      <c r="SU24" s="160"/>
      <c r="SV24" s="160"/>
      <c r="SW24" s="160"/>
      <c r="SX24" s="160"/>
      <c r="SY24" s="160"/>
      <c r="SZ24" s="160"/>
      <c r="TA24" s="160"/>
      <c r="TB24" s="160"/>
      <c r="TC24" s="160"/>
      <c r="TD24" s="160"/>
      <c r="TE24" s="160"/>
      <c r="TF24" s="160"/>
      <c r="TG24" s="160"/>
      <c r="TH24" s="160"/>
      <c r="TI24" s="160"/>
      <c r="TJ24" s="160"/>
      <c r="TK24" s="160"/>
      <c r="TL24" s="160"/>
      <c r="TM24" s="160"/>
      <c r="TN24" s="160"/>
      <c r="TO24" s="160"/>
      <c r="TP24" s="160"/>
      <c r="TQ24" s="160"/>
      <c r="TR24" s="160"/>
      <c r="TS24" s="160"/>
      <c r="TT24" s="160"/>
      <c r="TU24" s="160"/>
      <c r="TV24" s="160"/>
      <c r="TW24" s="160"/>
      <c r="TX24" s="160"/>
      <c r="TY24" s="160"/>
      <c r="TZ24" s="160"/>
      <c r="UA24" s="160"/>
      <c r="UB24" s="160"/>
      <c r="UC24" s="160"/>
      <c r="UD24" s="160"/>
      <c r="UE24" s="160"/>
      <c r="UF24" s="160"/>
      <c r="UG24" s="160"/>
      <c r="UH24" s="160"/>
      <c r="UI24" s="160"/>
      <c r="UJ24" s="160"/>
      <c r="UK24" s="160"/>
      <c r="UL24" s="160"/>
      <c r="UM24" s="160"/>
      <c r="UN24" s="160"/>
      <c r="UO24" s="160"/>
      <c r="UP24" s="160"/>
      <c r="UQ24" s="160"/>
      <c r="UR24" s="160"/>
      <c r="US24" s="160"/>
      <c r="UT24" s="160"/>
      <c r="UU24" s="160"/>
      <c r="UV24" s="160"/>
      <c r="UW24" s="160"/>
      <c r="UX24" s="160"/>
      <c r="UY24" s="160"/>
      <c r="UZ24" s="160"/>
      <c r="VA24" s="160"/>
      <c r="VB24" s="160"/>
      <c r="VC24" s="160"/>
      <c r="VD24" s="160"/>
      <c r="VE24" s="160"/>
      <c r="VF24" s="160"/>
      <c r="VG24" s="160"/>
      <c r="VH24" s="160"/>
      <c r="VI24" s="160"/>
      <c r="VJ24" s="160"/>
      <c r="VK24" s="160"/>
      <c r="VL24" s="160"/>
      <c r="VM24" s="160"/>
      <c r="VN24" s="160"/>
      <c r="VO24" s="160"/>
      <c r="VP24" s="160"/>
      <c r="VQ24" s="160"/>
      <c r="VR24" s="160"/>
      <c r="VS24" s="160"/>
      <c r="VT24" s="160"/>
      <c r="VU24" s="160"/>
      <c r="VV24" s="160"/>
      <c r="VW24" s="160"/>
      <c r="VX24" s="160"/>
      <c r="VY24" s="160"/>
      <c r="VZ24" s="160"/>
      <c r="WA24" s="160"/>
      <c r="WB24" s="160"/>
      <c r="WC24" s="160"/>
      <c r="WD24" s="160"/>
      <c r="WE24" s="160"/>
      <c r="WF24" s="160"/>
      <c r="WG24" s="160"/>
      <c r="WH24" s="160"/>
      <c r="WI24" s="160"/>
      <c r="WJ24" s="160"/>
      <c r="WK24" s="160"/>
      <c r="WL24" s="160"/>
      <c r="WM24" s="160"/>
      <c r="WN24" s="160"/>
      <c r="WO24" s="160"/>
      <c r="WP24" s="160"/>
      <c r="WQ24" s="160"/>
      <c r="WR24" s="160"/>
      <c r="WS24" s="160"/>
      <c r="WT24" s="160"/>
      <c r="WU24" s="160"/>
    </row>
    <row r="25" spans="1:619" s="166" customFormat="1" ht="12.75" customHeight="1" x14ac:dyDescent="0.2">
      <c r="A25" s="22"/>
      <c r="B25" s="319"/>
      <c r="C25" s="312"/>
      <c r="D25" s="159"/>
      <c r="E25" s="159"/>
      <c r="F25" s="147">
        <f t="shared" si="21"/>
        <v>0</v>
      </c>
      <c r="G25" s="147">
        <f t="shared" si="22"/>
        <v>0</v>
      </c>
      <c r="H25" s="156"/>
      <c r="I25" s="156"/>
      <c r="J25" s="156"/>
      <c r="K25" s="157"/>
      <c r="L25" s="158"/>
      <c r="M25" s="313"/>
      <c r="N25" s="161"/>
      <c r="O25" s="159"/>
      <c r="P25" s="161"/>
      <c r="Q25" s="158"/>
      <c r="R25" s="158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  <c r="DT25" s="160"/>
      <c r="DU25" s="160"/>
      <c r="DV25" s="160"/>
      <c r="DW25" s="160"/>
      <c r="DX25" s="160"/>
      <c r="DY25" s="160"/>
      <c r="DZ25" s="160"/>
      <c r="EA25" s="160"/>
      <c r="EB25" s="160"/>
      <c r="EC25" s="160"/>
      <c r="ED25" s="160"/>
      <c r="EE25" s="160"/>
      <c r="EF25" s="160"/>
      <c r="EG25" s="160"/>
      <c r="EH25" s="160"/>
      <c r="EI25" s="160"/>
      <c r="EJ25" s="160"/>
      <c r="EK25" s="160"/>
      <c r="EL25" s="160"/>
      <c r="EM25" s="160"/>
      <c r="EN25" s="160"/>
      <c r="EO25" s="160"/>
      <c r="EP25" s="160"/>
      <c r="EQ25" s="160"/>
      <c r="ER25" s="160"/>
      <c r="ES25" s="160"/>
      <c r="ET25" s="160"/>
      <c r="EU25" s="160"/>
      <c r="EV25" s="160"/>
      <c r="EW25" s="160"/>
      <c r="EX25" s="160"/>
      <c r="EY25" s="160"/>
    </row>
    <row r="26" spans="1:619" s="163" customFormat="1" ht="12.75" customHeight="1" x14ac:dyDescent="0.2">
      <c r="A26" s="151"/>
      <c r="B26" s="167"/>
      <c r="C26" s="168"/>
      <c r="D26" s="159"/>
      <c r="E26" s="159"/>
      <c r="F26" s="147"/>
      <c r="G26" s="147"/>
      <c r="H26" s="156"/>
      <c r="I26" s="156"/>
      <c r="J26" s="156"/>
      <c r="K26" s="157"/>
      <c r="L26" s="158"/>
      <c r="M26" s="158"/>
      <c r="N26" s="161"/>
      <c r="O26" s="159"/>
      <c r="P26" s="161"/>
      <c r="Q26" s="158"/>
      <c r="R26" s="158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60"/>
      <c r="CN26" s="160"/>
      <c r="CO26" s="160"/>
      <c r="CP26" s="160"/>
      <c r="CQ26" s="160"/>
      <c r="CR26" s="160"/>
      <c r="CS26" s="160"/>
      <c r="CT26" s="160"/>
      <c r="CU26" s="160"/>
      <c r="CV26" s="160"/>
      <c r="CW26" s="160"/>
      <c r="CX26" s="160"/>
      <c r="CY26" s="160"/>
      <c r="CZ26" s="160"/>
      <c r="DA26" s="160"/>
      <c r="DB26" s="160"/>
      <c r="DC26" s="160"/>
      <c r="DD26" s="160"/>
      <c r="DE26" s="160"/>
      <c r="DF26" s="160"/>
      <c r="DG26" s="160"/>
      <c r="DH26" s="160"/>
      <c r="DI26" s="160"/>
      <c r="DJ26" s="160"/>
      <c r="DK26" s="160"/>
      <c r="DL26" s="160"/>
      <c r="DM26" s="160"/>
      <c r="DN26" s="160"/>
      <c r="DO26" s="160"/>
      <c r="DP26" s="160"/>
      <c r="DQ26" s="160"/>
      <c r="DR26" s="160"/>
      <c r="DS26" s="160"/>
      <c r="DT26" s="160"/>
      <c r="DU26" s="160"/>
      <c r="DV26" s="160"/>
      <c r="DW26" s="160"/>
      <c r="DX26" s="160"/>
      <c r="DY26" s="160"/>
      <c r="DZ26" s="160"/>
      <c r="EA26" s="160"/>
      <c r="EB26" s="160"/>
      <c r="EC26" s="160"/>
      <c r="ED26" s="160"/>
      <c r="EE26" s="160"/>
      <c r="EF26" s="160"/>
      <c r="EG26" s="160"/>
      <c r="EH26" s="160"/>
      <c r="EI26" s="160"/>
      <c r="EJ26" s="160"/>
      <c r="EK26" s="160"/>
      <c r="EL26" s="160"/>
      <c r="EM26" s="160"/>
      <c r="EN26" s="160"/>
      <c r="EO26" s="160"/>
      <c r="EP26" s="160"/>
      <c r="EQ26" s="160"/>
      <c r="ER26" s="160"/>
      <c r="ES26" s="160"/>
      <c r="ET26" s="160"/>
      <c r="EU26" s="160"/>
      <c r="EV26" s="160"/>
      <c r="EW26" s="160"/>
      <c r="EX26" s="160"/>
      <c r="EY26" s="160"/>
      <c r="EZ26" s="160"/>
      <c r="FA26" s="160"/>
      <c r="FB26" s="160"/>
      <c r="FC26" s="160"/>
      <c r="FD26" s="160"/>
      <c r="FE26" s="160"/>
      <c r="FF26" s="160"/>
      <c r="FG26" s="160"/>
      <c r="FH26" s="160"/>
      <c r="FI26" s="160"/>
      <c r="FJ26" s="160"/>
      <c r="FK26" s="160"/>
      <c r="FL26" s="160"/>
      <c r="FM26" s="160"/>
      <c r="FN26" s="160"/>
      <c r="FO26" s="160"/>
      <c r="FP26" s="160"/>
      <c r="FQ26" s="160"/>
      <c r="FR26" s="160"/>
      <c r="FS26" s="160"/>
      <c r="FT26" s="160"/>
      <c r="FU26" s="160"/>
      <c r="FV26" s="160"/>
      <c r="FW26" s="160"/>
      <c r="FX26" s="160"/>
      <c r="FY26" s="160"/>
      <c r="FZ26" s="160"/>
      <c r="GA26" s="160"/>
      <c r="GB26" s="160"/>
      <c r="GC26" s="160"/>
      <c r="GD26" s="160"/>
      <c r="GE26" s="160"/>
      <c r="GF26" s="160"/>
      <c r="GG26" s="160"/>
      <c r="GH26" s="160"/>
      <c r="GI26" s="160"/>
      <c r="GJ26" s="160"/>
      <c r="GK26" s="160"/>
      <c r="GL26" s="160"/>
      <c r="GM26" s="160"/>
      <c r="GN26" s="160"/>
      <c r="GO26" s="160"/>
      <c r="GP26" s="160"/>
      <c r="GQ26" s="160"/>
      <c r="GR26" s="160"/>
      <c r="GS26" s="160"/>
      <c r="GT26" s="160"/>
      <c r="GU26" s="160"/>
      <c r="GV26" s="160"/>
      <c r="GW26" s="160"/>
      <c r="GX26" s="160"/>
      <c r="GY26" s="160"/>
      <c r="GZ26" s="160"/>
      <c r="HA26" s="160"/>
      <c r="HB26" s="160"/>
      <c r="HC26" s="160"/>
      <c r="HD26" s="160"/>
      <c r="HE26" s="160"/>
      <c r="HF26" s="160"/>
      <c r="HG26" s="160"/>
      <c r="HH26" s="160"/>
      <c r="HI26" s="160"/>
      <c r="HJ26" s="160"/>
      <c r="HK26" s="160"/>
      <c r="HL26" s="160"/>
      <c r="HM26" s="160"/>
      <c r="HN26" s="160"/>
      <c r="HO26" s="160"/>
      <c r="HP26" s="160"/>
      <c r="HQ26" s="160"/>
      <c r="HR26" s="160"/>
      <c r="HS26" s="160"/>
      <c r="HT26" s="160"/>
      <c r="HU26" s="160"/>
      <c r="HV26" s="160"/>
      <c r="HW26" s="160"/>
      <c r="HX26" s="160"/>
      <c r="HY26" s="160"/>
      <c r="HZ26" s="160"/>
      <c r="IA26" s="160"/>
      <c r="IB26" s="160"/>
      <c r="IC26" s="160"/>
      <c r="ID26" s="160"/>
      <c r="IE26" s="160"/>
      <c r="IF26" s="160"/>
      <c r="IG26" s="160"/>
      <c r="IH26" s="160"/>
      <c r="II26" s="160"/>
      <c r="IJ26" s="160"/>
      <c r="IK26" s="160"/>
      <c r="IL26" s="160"/>
      <c r="IM26" s="160"/>
      <c r="IN26" s="160"/>
      <c r="IO26" s="160"/>
      <c r="IP26" s="160"/>
      <c r="IQ26" s="160"/>
      <c r="IR26" s="160"/>
      <c r="IS26" s="160"/>
      <c r="IT26" s="160"/>
      <c r="IU26" s="160"/>
      <c r="IV26" s="160"/>
      <c r="IW26" s="160"/>
      <c r="IX26" s="160"/>
      <c r="IY26" s="160"/>
      <c r="IZ26" s="160"/>
      <c r="JA26" s="160"/>
      <c r="JB26" s="160"/>
      <c r="JC26" s="160"/>
      <c r="JD26" s="160"/>
      <c r="JE26" s="160"/>
      <c r="JF26" s="160"/>
      <c r="JG26" s="160"/>
      <c r="JH26" s="160"/>
      <c r="JI26" s="160"/>
      <c r="JJ26" s="160"/>
      <c r="JK26" s="160"/>
      <c r="JL26" s="160"/>
      <c r="JM26" s="160"/>
      <c r="JN26" s="160"/>
      <c r="JO26" s="160"/>
      <c r="JP26" s="160"/>
      <c r="JQ26" s="160"/>
      <c r="JR26" s="160"/>
      <c r="JS26" s="160"/>
      <c r="JT26" s="160"/>
      <c r="JU26" s="160"/>
      <c r="JV26" s="160"/>
      <c r="JW26" s="160"/>
      <c r="JX26" s="160"/>
      <c r="JY26" s="160"/>
      <c r="JZ26" s="160"/>
      <c r="KA26" s="160"/>
      <c r="KB26" s="160"/>
      <c r="KC26" s="160"/>
      <c r="KD26" s="160"/>
      <c r="KE26" s="160"/>
      <c r="KF26" s="160"/>
      <c r="KG26" s="160"/>
      <c r="KH26" s="160"/>
      <c r="KI26" s="160"/>
      <c r="KJ26" s="160"/>
      <c r="KK26" s="160"/>
      <c r="KL26" s="160"/>
      <c r="KM26" s="160"/>
      <c r="KN26" s="160"/>
      <c r="KO26" s="160"/>
      <c r="KP26" s="160"/>
      <c r="KQ26" s="160"/>
      <c r="KR26" s="160"/>
      <c r="KS26" s="160"/>
      <c r="KT26" s="160"/>
      <c r="KU26" s="160"/>
      <c r="KV26" s="160"/>
      <c r="KW26" s="160"/>
      <c r="KX26" s="160"/>
      <c r="KY26" s="160"/>
      <c r="KZ26" s="160"/>
      <c r="LA26" s="160"/>
      <c r="LB26" s="160"/>
      <c r="LC26" s="160"/>
      <c r="LD26" s="160"/>
      <c r="LE26" s="160"/>
      <c r="LF26" s="160"/>
      <c r="LG26" s="160"/>
      <c r="LH26" s="160"/>
      <c r="LI26" s="160"/>
      <c r="LJ26" s="160"/>
      <c r="LK26" s="160"/>
      <c r="LL26" s="160"/>
      <c r="LM26" s="160"/>
      <c r="LN26" s="160"/>
      <c r="LO26" s="160"/>
      <c r="LP26" s="160"/>
      <c r="LQ26" s="160"/>
      <c r="LR26" s="160"/>
      <c r="LS26" s="160"/>
      <c r="LT26" s="160"/>
      <c r="LU26" s="160"/>
      <c r="LV26" s="160"/>
      <c r="LW26" s="160"/>
      <c r="LX26" s="160"/>
      <c r="LY26" s="160"/>
      <c r="LZ26" s="160"/>
      <c r="MA26" s="160"/>
      <c r="MB26" s="160"/>
      <c r="MC26" s="160"/>
      <c r="MD26" s="160"/>
      <c r="ME26" s="160"/>
      <c r="MF26" s="160"/>
      <c r="MG26" s="160"/>
      <c r="MH26" s="160"/>
      <c r="MI26" s="160"/>
      <c r="MJ26" s="160"/>
      <c r="MK26" s="160"/>
      <c r="ML26" s="160"/>
      <c r="MM26" s="160"/>
      <c r="MN26" s="160"/>
      <c r="MO26" s="160"/>
      <c r="MP26" s="160"/>
      <c r="MQ26" s="160"/>
      <c r="MR26" s="160"/>
      <c r="MS26" s="160"/>
      <c r="MT26" s="160"/>
      <c r="MU26" s="160"/>
      <c r="MV26" s="160"/>
      <c r="MW26" s="160"/>
      <c r="MX26" s="160"/>
      <c r="MY26" s="160"/>
      <c r="MZ26" s="160"/>
      <c r="NA26" s="160"/>
      <c r="NB26" s="160"/>
      <c r="NC26" s="160"/>
      <c r="ND26" s="160"/>
      <c r="NE26" s="160"/>
      <c r="NF26" s="160"/>
      <c r="NG26" s="160"/>
      <c r="NH26" s="160"/>
      <c r="NI26" s="160"/>
      <c r="NJ26" s="160"/>
      <c r="NK26" s="160"/>
      <c r="NL26" s="160"/>
      <c r="NM26" s="160"/>
      <c r="NN26" s="160"/>
      <c r="NO26" s="160"/>
      <c r="NP26" s="160"/>
      <c r="NQ26" s="160"/>
      <c r="NR26" s="160"/>
      <c r="NS26" s="160"/>
      <c r="NT26" s="160"/>
      <c r="NU26" s="160"/>
      <c r="NV26" s="160"/>
      <c r="NW26" s="160"/>
      <c r="NX26" s="160"/>
      <c r="NY26" s="160"/>
      <c r="NZ26" s="160"/>
      <c r="OA26" s="160"/>
      <c r="OB26" s="160"/>
      <c r="OC26" s="160"/>
      <c r="OD26" s="160"/>
      <c r="OE26" s="160"/>
      <c r="OF26" s="160"/>
      <c r="OG26" s="160"/>
      <c r="OH26" s="160"/>
      <c r="OI26" s="160"/>
      <c r="OJ26" s="160"/>
      <c r="OK26" s="160"/>
      <c r="OL26" s="160"/>
      <c r="OM26" s="160"/>
      <c r="ON26" s="160"/>
      <c r="OO26" s="160"/>
      <c r="OP26" s="160"/>
      <c r="OQ26" s="160"/>
      <c r="OR26" s="160"/>
      <c r="OS26" s="160"/>
      <c r="OT26" s="160"/>
      <c r="OU26" s="160"/>
      <c r="OV26" s="160"/>
      <c r="OW26" s="160"/>
      <c r="OX26" s="160"/>
      <c r="OY26" s="160"/>
      <c r="OZ26" s="160"/>
      <c r="PA26" s="160"/>
      <c r="PB26" s="160"/>
      <c r="PC26" s="160"/>
      <c r="PD26" s="160"/>
      <c r="PE26" s="160"/>
      <c r="PF26" s="160"/>
      <c r="PG26" s="160"/>
      <c r="PH26" s="160"/>
      <c r="PI26" s="160"/>
      <c r="PJ26" s="160"/>
      <c r="PK26" s="160"/>
      <c r="PL26" s="160"/>
      <c r="PM26" s="160"/>
      <c r="PN26" s="160"/>
      <c r="PO26" s="160"/>
      <c r="PP26" s="160"/>
      <c r="PQ26" s="160"/>
      <c r="PR26" s="160"/>
      <c r="PS26" s="160"/>
      <c r="PT26" s="160"/>
      <c r="PU26" s="160"/>
      <c r="PV26" s="160"/>
      <c r="PW26" s="160"/>
      <c r="PX26" s="160"/>
      <c r="PY26" s="160"/>
      <c r="PZ26" s="160"/>
      <c r="QA26" s="160"/>
      <c r="QB26" s="160"/>
      <c r="QC26" s="160"/>
      <c r="QD26" s="160"/>
      <c r="QE26" s="160"/>
      <c r="QF26" s="160"/>
      <c r="QG26" s="160"/>
      <c r="QH26" s="160"/>
      <c r="QI26" s="160"/>
      <c r="QJ26" s="160"/>
      <c r="QK26" s="160"/>
      <c r="QL26" s="160"/>
      <c r="QM26" s="160"/>
      <c r="QN26" s="160"/>
      <c r="QO26" s="160"/>
      <c r="QP26" s="160"/>
      <c r="QQ26" s="160"/>
      <c r="QR26" s="160"/>
      <c r="QS26" s="160"/>
      <c r="QT26" s="160"/>
      <c r="QU26" s="160"/>
      <c r="QV26" s="160"/>
      <c r="QW26" s="160"/>
      <c r="QX26" s="160"/>
      <c r="QY26" s="160"/>
      <c r="QZ26" s="160"/>
      <c r="RA26" s="160"/>
      <c r="RB26" s="160"/>
      <c r="RC26" s="160"/>
      <c r="RD26" s="160"/>
      <c r="RE26" s="160"/>
      <c r="RF26" s="160"/>
      <c r="RG26" s="160"/>
      <c r="RH26" s="160"/>
      <c r="RI26" s="160"/>
      <c r="RJ26" s="160"/>
      <c r="RK26" s="160"/>
      <c r="RL26" s="160"/>
      <c r="RM26" s="160"/>
      <c r="RN26" s="160"/>
      <c r="RO26" s="160"/>
      <c r="RP26" s="160"/>
      <c r="RQ26" s="160"/>
      <c r="RR26" s="160"/>
      <c r="RS26" s="160"/>
      <c r="RT26" s="160"/>
      <c r="RU26" s="160"/>
      <c r="RV26" s="160"/>
      <c r="RW26" s="160"/>
      <c r="RX26" s="160"/>
      <c r="RY26" s="160"/>
      <c r="RZ26" s="160"/>
      <c r="SA26" s="160"/>
      <c r="SB26" s="160"/>
      <c r="SC26" s="160"/>
      <c r="SD26" s="160"/>
      <c r="SE26" s="160"/>
      <c r="SF26" s="160"/>
      <c r="SG26" s="160"/>
      <c r="SH26" s="160"/>
      <c r="SI26" s="160"/>
      <c r="SJ26" s="160"/>
      <c r="SK26" s="160"/>
      <c r="SL26" s="160"/>
      <c r="SM26" s="160"/>
      <c r="SN26" s="160"/>
      <c r="SO26" s="160"/>
      <c r="SP26" s="160"/>
      <c r="SQ26" s="160"/>
      <c r="SR26" s="160"/>
      <c r="SS26" s="160"/>
      <c r="ST26" s="160"/>
      <c r="SU26" s="160"/>
      <c r="SV26" s="160"/>
      <c r="SW26" s="160"/>
      <c r="SX26" s="160"/>
      <c r="SY26" s="160"/>
      <c r="SZ26" s="160"/>
      <c r="TA26" s="160"/>
      <c r="TB26" s="160"/>
      <c r="TC26" s="160"/>
      <c r="TD26" s="160"/>
      <c r="TE26" s="160"/>
      <c r="TF26" s="160"/>
      <c r="TG26" s="160"/>
      <c r="TH26" s="160"/>
      <c r="TI26" s="160"/>
      <c r="TJ26" s="160"/>
      <c r="TK26" s="160"/>
      <c r="TL26" s="160"/>
      <c r="TM26" s="160"/>
      <c r="TN26" s="160"/>
      <c r="TO26" s="160"/>
      <c r="TP26" s="160"/>
      <c r="TQ26" s="160"/>
      <c r="TR26" s="160"/>
      <c r="TS26" s="160"/>
      <c r="TT26" s="160"/>
      <c r="TU26" s="160"/>
      <c r="TV26" s="160"/>
      <c r="TW26" s="160"/>
      <c r="TX26" s="160"/>
      <c r="TY26" s="160"/>
      <c r="TZ26" s="160"/>
      <c r="UA26" s="160"/>
      <c r="UB26" s="160"/>
      <c r="UC26" s="160"/>
      <c r="UD26" s="160"/>
      <c r="UE26" s="160"/>
      <c r="UF26" s="160"/>
      <c r="UG26" s="160"/>
      <c r="UH26" s="160"/>
      <c r="UI26" s="160"/>
      <c r="UJ26" s="160"/>
      <c r="UK26" s="160"/>
      <c r="UL26" s="160"/>
      <c r="UM26" s="160"/>
      <c r="UN26" s="160"/>
      <c r="UO26" s="160"/>
      <c r="UP26" s="160"/>
      <c r="UQ26" s="160"/>
      <c r="UR26" s="160"/>
      <c r="US26" s="160"/>
      <c r="UT26" s="160"/>
      <c r="UU26" s="160"/>
      <c r="UV26" s="160"/>
      <c r="UW26" s="160"/>
      <c r="UX26" s="160"/>
      <c r="UY26" s="160"/>
      <c r="UZ26" s="160"/>
      <c r="VA26" s="160"/>
      <c r="VB26" s="160"/>
      <c r="VC26" s="160"/>
      <c r="VD26" s="160"/>
      <c r="VE26" s="160"/>
      <c r="VF26" s="160"/>
      <c r="VG26" s="160"/>
      <c r="VH26" s="160"/>
      <c r="VI26" s="160"/>
      <c r="VJ26" s="160"/>
      <c r="VK26" s="160"/>
      <c r="VL26" s="160"/>
      <c r="VM26" s="160"/>
      <c r="VN26" s="160"/>
      <c r="VO26" s="160"/>
      <c r="VP26" s="160"/>
      <c r="VQ26" s="160"/>
      <c r="VR26" s="160"/>
      <c r="VS26" s="160"/>
      <c r="VT26" s="160"/>
      <c r="VU26" s="160"/>
      <c r="VV26" s="160"/>
      <c r="VW26" s="160"/>
      <c r="VX26" s="160"/>
      <c r="VY26" s="160"/>
      <c r="VZ26" s="160"/>
      <c r="WA26" s="160"/>
      <c r="WB26" s="160"/>
      <c r="WC26" s="160"/>
      <c r="WD26" s="160"/>
      <c r="WE26" s="160"/>
      <c r="WF26" s="160"/>
      <c r="WG26" s="160"/>
      <c r="WH26" s="160"/>
      <c r="WI26" s="160"/>
      <c r="WJ26" s="160"/>
      <c r="WK26" s="160"/>
      <c r="WL26" s="160"/>
      <c r="WM26" s="160"/>
      <c r="WN26" s="160"/>
      <c r="WO26" s="160"/>
      <c r="WP26" s="160"/>
      <c r="WQ26" s="160"/>
      <c r="WR26" s="160"/>
      <c r="WS26" s="160"/>
      <c r="WT26" s="160"/>
      <c r="WU26" s="160"/>
    </row>
    <row r="27" spans="1:619" ht="12.75" customHeight="1" x14ac:dyDescent="0.2">
      <c r="A27" s="604" t="s">
        <v>8</v>
      </c>
      <c r="B27" s="605"/>
      <c r="C27" s="606"/>
      <c r="D27" s="610" t="s">
        <v>8</v>
      </c>
      <c r="E27" s="611"/>
      <c r="F27" s="42">
        <f t="shared" ref="F27:L27" si="23">SUM(F17:F26)</f>
        <v>8219.7050000000017</v>
      </c>
      <c r="G27" s="164">
        <f t="shared" si="23"/>
        <v>7278.4049999999997</v>
      </c>
      <c r="H27" s="164">
        <f t="shared" si="23"/>
        <v>15</v>
      </c>
      <c r="I27" s="164">
        <f t="shared" si="23"/>
        <v>9</v>
      </c>
      <c r="J27" s="266">
        <f t="shared" si="23"/>
        <v>155.34</v>
      </c>
      <c r="K27" s="148">
        <f t="shared" si="23"/>
        <v>54</v>
      </c>
      <c r="L27" s="266">
        <f t="shared" si="23"/>
        <v>1882.6000000000001</v>
      </c>
      <c r="M27" s="267">
        <f t="shared" ref="M27:P27" si="24">SUM(M11:M26)</f>
        <v>0</v>
      </c>
      <c r="N27" s="266">
        <f t="shared" si="24"/>
        <v>31</v>
      </c>
      <c r="O27" s="164">
        <f>SUM(O17:O26)</f>
        <v>1882.6000000000001</v>
      </c>
      <c r="P27" s="297">
        <f t="shared" si="24"/>
        <v>31</v>
      </c>
      <c r="Q27" s="268">
        <f>SUM(Q17:Q26)</f>
        <v>1882.6000000000001</v>
      </c>
      <c r="R27" s="268">
        <f>SUM(R17:R26)</f>
        <v>31</v>
      </c>
    </row>
    <row r="28" spans="1:619" ht="13.5" thickBot="1" x14ac:dyDescent="0.25">
      <c r="A28" s="607"/>
      <c r="B28" s="608"/>
      <c r="C28" s="609"/>
      <c r="D28" s="602"/>
      <c r="E28" s="603"/>
      <c r="F28" s="170"/>
      <c r="G28" s="45"/>
      <c r="H28" s="171"/>
      <c r="I28" s="45"/>
      <c r="J28" s="170"/>
      <c r="K28" s="45"/>
      <c r="L28" s="612" t="s">
        <v>121</v>
      </c>
      <c r="M28" s="613"/>
      <c r="N28" s="308">
        <f>L27-M27-N27</f>
        <v>1851.6000000000001</v>
      </c>
      <c r="O28" s="268" t="s">
        <v>123</v>
      </c>
      <c r="P28" s="275">
        <f>O27-P27</f>
        <v>1851.6000000000001</v>
      </c>
      <c r="Q28" s="268" t="s">
        <v>227</v>
      </c>
      <c r="R28" s="275">
        <f>Q27-R27</f>
        <v>1851.6000000000001</v>
      </c>
    </row>
    <row r="30" spans="1:619" ht="15.75" x14ac:dyDescent="0.25">
      <c r="K30" s="130"/>
      <c r="M30" s="25"/>
      <c r="N30" s="25"/>
      <c r="O30" s="25"/>
      <c r="P30" s="25"/>
      <c r="Q30" s="25"/>
      <c r="R30" s="25"/>
    </row>
    <row r="31" spans="1:619" ht="15.75" x14ac:dyDescent="0.25">
      <c r="B31" s="132"/>
      <c r="K31" s="130"/>
      <c r="M31" s="26"/>
      <c r="N31" s="26"/>
      <c r="O31" s="26"/>
      <c r="P31" s="26"/>
      <c r="Q31" s="26"/>
      <c r="R31" s="26"/>
    </row>
    <row r="32" spans="1:619" x14ac:dyDescent="0.2">
      <c r="C32" s="144"/>
      <c r="M32" s="131"/>
      <c r="N32" s="131"/>
      <c r="P32" s="131"/>
      <c r="Q32" s="131"/>
      <c r="R32" s="131"/>
    </row>
    <row r="33" spans="3:11" ht="15.75" x14ac:dyDescent="0.25">
      <c r="C33" s="144"/>
      <c r="K33" s="130"/>
    </row>
    <row r="34" spans="3:11" ht="15.75" x14ac:dyDescent="0.25">
      <c r="C34" s="144"/>
      <c r="K34" s="130"/>
    </row>
    <row r="35" spans="3:11" x14ac:dyDescent="0.2">
      <c r="C35" s="144"/>
    </row>
    <row r="41" spans="3:11" x14ac:dyDescent="0.2">
      <c r="C41" s="144"/>
    </row>
    <row r="42" spans="3:11" x14ac:dyDescent="0.2">
      <c r="C42" s="144"/>
    </row>
    <row r="43" spans="3:11" x14ac:dyDescent="0.2">
      <c r="C43" s="144"/>
    </row>
    <row r="44" spans="3:11" x14ac:dyDescent="0.2">
      <c r="C44" s="144"/>
    </row>
    <row r="45" spans="3:11" x14ac:dyDescent="0.2">
      <c r="C45" s="144"/>
    </row>
    <row r="46" spans="3:11" x14ac:dyDescent="0.2">
      <c r="C46" s="144"/>
    </row>
    <row r="47" spans="3:11" x14ac:dyDescent="0.2">
      <c r="C47" s="144"/>
    </row>
    <row r="48" spans="3:11" x14ac:dyDescent="0.2">
      <c r="C48" s="144"/>
    </row>
  </sheetData>
  <mergeCells count="7">
    <mergeCell ref="L28:M28"/>
    <mergeCell ref="A1:I1"/>
    <mergeCell ref="A7:I7"/>
    <mergeCell ref="B3:E3"/>
    <mergeCell ref="D28:E28"/>
    <mergeCell ref="A27:C28"/>
    <mergeCell ref="D27:E2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PLANILHA</vt:lpstr>
      <vt:lpstr>MEMORIA</vt:lpstr>
      <vt:lpstr>COMPOSIÇÃO BDI</vt:lpstr>
      <vt:lpstr>RELAÇÃO DE RUAS </vt:lpstr>
      <vt:lpstr>MEMORIA!Area_de_impressao</vt:lpstr>
      <vt:lpstr>PLANILHA!Area_de_impressao</vt:lpstr>
      <vt:lpstr>'RELAÇÃO DE RUAS '!Area_de_impressao</vt:lpstr>
      <vt:lpstr>MEMORIA!Titulos_de_impressao</vt:lpstr>
      <vt:lpstr>PLANILHA!Titulos_de_impressao</vt:lpstr>
    </vt:vector>
  </TitlesOfParts>
  <Company>Setop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ENGENHARIA</cp:lastModifiedBy>
  <cp:lastPrinted>2017-12-21T13:35:03Z</cp:lastPrinted>
  <dcterms:created xsi:type="dcterms:W3CDTF">2006-09-22T13:55:22Z</dcterms:created>
  <dcterms:modified xsi:type="dcterms:W3CDTF">2017-12-21T15:27:16Z</dcterms:modified>
</cp:coreProperties>
</file>