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16" windowHeight="11016" activeTab="2"/>
  </bookViews>
  <sheets>
    <sheet name="PLANILHA" sheetId="11" r:id="rId1"/>
    <sheet name="CRONOGRAMA" sheetId="13" r:id="rId2"/>
    <sheet name="COMPOSIÇÃO BDI" sheetId="12" r:id="rId3"/>
  </sheets>
  <externalReferences>
    <externalReference r:id="rId4"/>
  </externalReferences>
  <definedNames>
    <definedName name="_xlnm.Print_Area" localSheetId="0">PLANILHA!$A$1:$AM$111</definedName>
    <definedName name="_xlnm.Print_Titles" localSheetId="0">PLANILHA!$2:$29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3" l="1"/>
  <c r="I13" i="13"/>
  <c r="H14" i="13"/>
  <c r="I16" i="13"/>
  <c r="I15" i="13"/>
  <c r="I21" i="13"/>
  <c r="I22" i="13"/>
  <c r="F22" i="13"/>
  <c r="F16" i="13"/>
  <c r="I34" i="13"/>
  <c r="E33" i="13"/>
  <c r="D34" i="13"/>
  <c r="AP103" i="11"/>
  <c r="AH104" i="11"/>
  <c r="AH63" i="11"/>
  <c r="AE61" i="11"/>
  <c r="AH61" i="11" s="1"/>
  <c r="AA61" i="11"/>
  <c r="F55" i="11"/>
  <c r="AA55" i="11"/>
  <c r="AE55" i="11"/>
  <c r="AH55" i="11" s="1"/>
  <c r="F56" i="11"/>
  <c r="AA56" i="11"/>
  <c r="AE56" i="11"/>
  <c r="AH56" i="11" s="1"/>
  <c r="F57" i="11"/>
  <c r="AA57" i="11"/>
  <c r="AE57" i="11"/>
  <c r="AH57" i="11" s="1"/>
  <c r="AA47" i="11" l="1"/>
  <c r="AE47" i="11"/>
  <c r="AH47" i="11" s="1"/>
  <c r="AA48" i="11"/>
  <c r="AE48" i="11"/>
  <c r="AH48" i="11" s="1"/>
  <c r="AA49" i="11"/>
  <c r="AE49" i="11"/>
  <c r="AH49" i="11" s="1"/>
  <c r="H24" i="13" l="1"/>
  <c r="I24" i="13"/>
  <c r="AA87" i="11"/>
  <c r="AE87" i="11"/>
  <c r="AH87" i="11" s="1"/>
  <c r="AA89" i="11"/>
  <c r="AE89" i="11"/>
  <c r="AH89" i="11"/>
  <c r="AE39" i="11" l="1"/>
  <c r="AE34" i="11"/>
  <c r="AE35" i="11"/>
  <c r="AE33" i="11"/>
  <c r="AE32" i="11"/>
  <c r="AE31" i="11"/>
  <c r="N26" i="12"/>
  <c r="AA72" i="11"/>
  <c r="AE72" i="11"/>
  <c r="AH72" i="11" s="1"/>
  <c r="AA70" i="11"/>
  <c r="AE70" i="11"/>
  <c r="AH70" i="11" s="1"/>
  <c r="AA68" i="11"/>
  <c r="AE68" i="11"/>
  <c r="AH68" i="11" s="1"/>
  <c r="AA88" i="11"/>
  <c r="AE88" i="11"/>
  <c r="AH88" i="11" s="1"/>
  <c r="I19" i="13" l="1"/>
  <c r="I17" i="13"/>
  <c r="I11" i="13"/>
  <c r="I10" i="13"/>
  <c r="I9" i="13"/>
  <c r="AA93" i="11"/>
  <c r="AE93" i="11"/>
  <c r="AH93" i="11" s="1"/>
  <c r="AA92" i="11"/>
  <c r="AE92" i="11"/>
  <c r="AH92" i="11" s="1"/>
  <c r="G20" i="13" l="1"/>
  <c r="AA45" i="11"/>
  <c r="AE45" i="11"/>
  <c r="AA98" i="11"/>
  <c r="AE98" i="11"/>
  <c r="AH98" i="11" s="1"/>
  <c r="AA97" i="11"/>
  <c r="AE97" i="11"/>
  <c r="AH97" i="11" s="1"/>
  <c r="AA96" i="11"/>
  <c r="AE96" i="11"/>
  <c r="AH96" i="11" s="1"/>
  <c r="I20" i="13" l="1"/>
  <c r="AH99" i="11"/>
  <c r="AH45" i="11"/>
  <c r="AA43" i="11"/>
  <c r="AE43" i="11"/>
  <c r="AH43" i="11" s="1"/>
  <c r="G33" i="13" l="1"/>
  <c r="AE58" i="11"/>
  <c r="AH58" i="11" s="1"/>
  <c r="AA58" i="11"/>
  <c r="AE54" i="11"/>
  <c r="AH54" i="11" s="1"/>
  <c r="AA54" i="11"/>
  <c r="AE53" i="11"/>
  <c r="AH53" i="11" s="1"/>
  <c r="AH59" i="11" s="1"/>
  <c r="AA53" i="11"/>
  <c r="F54" i="11" l="1"/>
  <c r="AA69" i="11" l="1"/>
  <c r="AE69" i="11"/>
  <c r="AH69" i="11" s="1"/>
  <c r="AH76" i="11" s="1"/>
  <c r="AA71" i="11"/>
  <c r="AE71" i="11"/>
  <c r="AH71" i="11" s="1"/>
  <c r="AA73" i="11"/>
  <c r="AE73" i="11"/>
  <c r="AH73" i="11" s="1"/>
  <c r="AA67" i="11"/>
  <c r="AE67" i="11"/>
  <c r="AH67" i="11" s="1"/>
  <c r="AA35" i="11"/>
  <c r="AH35" i="11"/>
  <c r="AA86" i="11"/>
  <c r="AE86" i="11"/>
  <c r="AH86" i="11" s="1"/>
  <c r="AA82" i="11"/>
  <c r="AE82" i="11"/>
  <c r="AH82" i="11" s="1"/>
  <c r="AA83" i="11"/>
  <c r="AE83" i="11"/>
  <c r="AH83" i="11" s="1"/>
  <c r="AA84" i="11"/>
  <c r="AE84" i="11"/>
  <c r="AH84" i="11" s="1"/>
  <c r="AA85" i="11"/>
  <c r="AE85" i="11"/>
  <c r="AH85" i="11" s="1"/>
  <c r="AA76" i="11" l="1"/>
  <c r="AA34" i="11"/>
  <c r="AH34" i="11"/>
  <c r="AA33" i="11"/>
  <c r="AH33" i="11"/>
  <c r="AE91" i="11"/>
  <c r="AH91" i="11" s="1"/>
  <c r="AA65" i="11" l="1"/>
  <c r="AA74" i="11"/>
  <c r="AE74" i="11"/>
  <c r="AH74" i="11" s="1"/>
  <c r="AE65" i="11"/>
  <c r="AH65" i="11" s="1"/>
  <c r="AA91" i="11" l="1"/>
  <c r="AA32" i="11"/>
  <c r="AH32" i="11"/>
  <c r="AA90" i="11" l="1"/>
  <c r="AE90" i="11"/>
  <c r="AH90" i="11" s="1"/>
  <c r="AA81" i="11"/>
  <c r="AE81" i="11"/>
  <c r="AH81" i="11" s="1"/>
  <c r="AA79" i="11"/>
  <c r="AE79" i="11"/>
  <c r="AH79" i="11" s="1"/>
  <c r="AA80" i="11"/>
  <c r="AE80" i="11"/>
  <c r="AH80" i="11" s="1"/>
  <c r="AE50" i="11" l="1"/>
  <c r="AH50" i="11" l="1"/>
  <c r="E10" i="13"/>
  <c r="H18" i="13"/>
  <c r="E12" i="13"/>
  <c r="AE41" i="11"/>
  <c r="AE40" i="11"/>
  <c r="AH40" i="11" s="1"/>
  <c r="I12" i="13" l="1"/>
  <c r="I18" i="13"/>
  <c r="F33" i="13"/>
  <c r="AA50" i="11"/>
  <c r="I33" i="13" l="1"/>
  <c r="AH31" i="11"/>
  <c r="AE78" i="11"/>
  <c r="AH78" i="11" s="1"/>
  <c r="AH94" i="11" s="1"/>
  <c r="AH37" i="11" l="1"/>
  <c r="AE66" i="11"/>
  <c r="AH66" i="11" s="1"/>
  <c r="AE62" i="11"/>
  <c r="AE46" i="11"/>
  <c r="AH46" i="11" s="1"/>
  <c r="AE44" i="11"/>
  <c r="AH44" i="11" s="1"/>
  <c r="AE42" i="11"/>
  <c r="AH42" i="11" s="1"/>
  <c r="AH39" i="11"/>
  <c r="O42" i="12" l="1"/>
  <c r="I50" i="12" l="1"/>
  <c r="I49" i="12"/>
  <c r="A45" i="12"/>
  <c r="A46" i="12" s="1"/>
  <c r="C44" i="12"/>
  <c r="I42" i="12"/>
  <c r="A39" i="12"/>
  <c r="C39" i="12" s="1"/>
  <c r="C38" i="12"/>
  <c r="I35" i="12"/>
  <c r="M32" i="12"/>
  <c r="I29" i="12"/>
  <c r="A28" i="12"/>
  <c r="A29" i="12" s="1"/>
  <c r="C27" i="12"/>
  <c r="N24" i="12"/>
  <c r="M22" i="12"/>
  <c r="I22" i="12"/>
  <c r="A22" i="12"/>
  <c r="A23" i="12" s="1"/>
  <c r="C23" i="12" s="1"/>
  <c r="M21" i="12"/>
  <c r="I21" i="12"/>
  <c r="C21" i="12"/>
  <c r="M20" i="12"/>
  <c r="I20" i="12"/>
  <c r="M19" i="12"/>
  <c r="I19" i="12"/>
  <c r="M18" i="12"/>
  <c r="I18" i="12"/>
  <c r="A15" i="12"/>
  <c r="C15" i="12" s="1"/>
  <c r="C14" i="12"/>
  <c r="C13" i="12"/>
  <c r="C12" i="12"/>
  <c r="O25" i="12"/>
  <c r="C11" i="12"/>
  <c r="C10" i="12"/>
  <c r="C9" i="12"/>
  <c r="I8" i="12"/>
  <c r="C8" i="12"/>
  <c r="K5" i="12"/>
  <c r="I5" i="12"/>
  <c r="A3" i="12"/>
  <c r="A4" i="12" s="1"/>
  <c r="C2" i="12"/>
  <c r="C22" i="12" l="1"/>
  <c r="C3" i="12"/>
  <c r="C28" i="12"/>
  <c r="C45" i="12"/>
  <c r="N27" i="12"/>
  <c r="A5" i="12"/>
  <c r="C4" i="12"/>
  <c r="A32" i="12"/>
  <c r="C29" i="12"/>
  <c r="A47" i="12"/>
  <c r="C46" i="12"/>
  <c r="A17" i="12"/>
  <c r="A24" i="12"/>
  <c r="L32" i="12"/>
  <c r="M33" i="12"/>
  <c r="I37" i="12"/>
  <c r="A40" i="12"/>
  <c r="C17" i="12" l="1"/>
  <c r="A18" i="12"/>
  <c r="A48" i="12"/>
  <c r="C47" i="12"/>
  <c r="C32" i="12"/>
  <c r="A33" i="12"/>
  <c r="A6" i="12"/>
  <c r="C5" i="12"/>
  <c r="C40" i="12"/>
  <c r="A41" i="12"/>
  <c r="A25" i="12"/>
  <c r="C24" i="12"/>
  <c r="C41" i="12" l="1"/>
  <c r="A42" i="12"/>
  <c r="A34" i="12"/>
  <c r="C34" i="12" s="1"/>
  <c r="C33" i="12"/>
  <c r="A19" i="12"/>
  <c r="C18" i="12"/>
  <c r="A26" i="12"/>
  <c r="C26" i="12" s="1"/>
  <c r="C25" i="12"/>
  <c r="A7" i="12"/>
  <c r="C7" i="12" s="1"/>
  <c r="R22" i="12" s="1"/>
  <c r="C6" i="12"/>
  <c r="Q18" i="12" s="1"/>
  <c r="A49" i="12"/>
  <c r="C49" i="12" s="1"/>
  <c r="C48" i="12"/>
  <c r="A20" i="12" l="1"/>
  <c r="C20" i="12" s="1"/>
  <c r="C19" i="12"/>
  <c r="Q26" i="12"/>
  <c r="P21" i="12"/>
  <c r="R18" i="12"/>
  <c r="R26" i="12"/>
  <c r="P26" i="12"/>
  <c r="O26" i="12" s="1"/>
  <c r="O27" i="12" s="1"/>
  <c r="R21" i="12"/>
  <c r="Q19" i="12"/>
  <c r="Q20" i="12"/>
  <c r="P19" i="12"/>
  <c r="Q22" i="12"/>
  <c r="P20" i="12"/>
  <c r="R19" i="12"/>
  <c r="Q21" i="12"/>
  <c r="P22" i="12"/>
  <c r="R20" i="12"/>
  <c r="P18" i="12"/>
  <c r="C42" i="12"/>
  <c r="A43" i="12"/>
  <c r="C43" i="12" s="1"/>
  <c r="AH62" i="11" l="1"/>
  <c r="AA78" i="11" l="1"/>
  <c r="AA30" i="11" l="1"/>
  <c r="AE30" i="11"/>
  <c r="AH30" i="11"/>
  <c r="AA99" i="11"/>
  <c r="AA46" i="11" l="1"/>
  <c r="AA44" i="11"/>
  <c r="AA42" i="11"/>
  <c r="AA66" i="11"/>
  <c r="AA62" i="11"/>
  <c r="AA31" i="11"/>
  <c r="AA37" i="11" s="1"/>
  <c r="AA63" i="11" l="1"/>
  <c r="AA40" i="11" l="1"/>
  <c r="AH41" i="11"/>
  <c r="AA41" i="11" l="1"/>
  <c r="AA39" i="11"/>
  <c r="AA51" i="11" l="1"/>
  <c r="AA104" i="11" s="1"/>
  <c r="AA59" i="11" l="1"/>
  <c r="AE102" i="11"/>
  <c r="AH102" i="11" s="1"/>
  <c r="AA102" i="11" l="1"/>
  <c r="AA103" i="11" s="1"/>
  <c r="AE101" i="11" l="1"/>
  <c r="AH101" i="11" s="1"/>
  <c r="AA101" i="11"/>
</calcChain>
</file>

<file path=xl/sharedStrings.xml><?xml version="1.0" encoding="utf-8"?>
<sst xmlns="http://schemas.openxmlformats.org/spreadsheetml/2006/main" count="488" uniqueCount="278">
  <si>
    <t>ITEM</t>
  </si>
  <si>
    <t>CÓDIGO</t>
  </si>
  <si>
    <t>2.1</t>
  </si>
  <si>
    <t>3.1</t>
  </si>
  <si>
    <t>2.2</t>
  </si>
  <si>
    <t>4.1</t>
  </si>
  <si>
    <t>3.2</t>
  </si>
  <si>
    <t>5.1</t>
  </si>
  <si>
    <t>m²</t>
  </si>
  <si>
    <t>2.3</t>
  </si>
  <si>
    <t xml:space="preserve">ORÇAMENTO DISCRIMINATIVO </t>
  </si>
  <si>
    <t>Proponente</t>
  </si>
  <si>
    <t>Nº do Contrato de Repasse - OGU</t>
  </si>
  <si>
    <t>Empreendimento ( Nome/Apelido)</t>
  </si>
  <si>
    <t>Município</t>
  </si>
  <si>
    <t>UF</t>
  </si>
  <si>
    <t>MG</t>
  </si>
  <si>
    <t>Programa</t>
  </si>
  <si>
    <t>Gestor (Ministério)</t>
  </si>
  <si>
    <t>Data-Base (mês de referência)</t>
  </si>
  <si>
    <t>Regime de execução das obras:</t>
  </si>
  <si>
    <t>Composição de BDI Adotada</t>
  </si>
  <si>
    <t>BDI Proposto:</t>
  </si>
  <si>
    <t>Garantia (G)</t>
  </si>
  <si>
    <t xml:space="preserve">De </t>
  </si>
  <si>
    <t>até</t>
  </si>
  <si>
    <t xml:space="preserve">  Garantia:</t>
  </si>
  <si>
    <t xml:space="preserve">Risco (R) </t>
  </si>
  <si>
    <t xml:space="preserve">  Risco:</t>
  </si>
  <si>
    <t>Despesas financeiras (DF)</t>
  </si>
  <si>
    <t xml:space="preserve">  Despesas financeiras:</t>
  </si>
  <si>
    <t>Administração Central (AC)</t>
  </si>
  <si>
    <t xml:space="preserve">  Administração central:</t>
  </si>
  <si>
    <t>Lucro (L)</t>
  </si>
  <si>
    <t xml:space="preserve">  Lucro:</t>
  </si>
  <si>
    <t>Tributos (T)</t>
  </si>
  <si>
    <t xml:space="preserve">  Tributos:</t>
  </si>
  <si>
    <t>DESCRIÇÃO DOS SERVIÇOS</t>
  </si>
  <si>
    <t xml:space="preserve">UN </t>
  </si>
  <si>
    <t>QUANT</t>
  </si>
  <si>
    <t>VALORES (R$)</t>
  </si>
  <si>
    <t>tributos</t>
  </si>
  <si>
    <t>FONTE</t>
  </si>
  <si>
    <t>CUSTO</t>
  </si>
  <si>
    <t>PREÇO</t>
  </si>
  <si>
    <t>iss</t>
  </si>
  <si>
    <t>UNITÁRIO</t>
  </si>
  <si>
    <t>TOTAL ITEM</t>
  </si>
  <si>
    <t>pis</t>
  </si>
  <si>
    <t>cofins</t>
  </si>
  <si>
    <t>SINAPI</t>
  </si>
  <si>
    <t>SUBTOTAL 1</t>
  </si>
  <si>
    <t>SUBTOTAL 2</t>
  </si>
  <si>
    <t>SUBTOTAL 3</t>
  </si>
  <si>
    <t>m</t>
  </si>
  <si>
    <t>SUBTOTAL 4</t>
  </si>
  <si>
    <t>unid.</t>
  </si>
  <si>
    <t>TOTAIS:</t>
  </si>
  <si>
    <t>CUSTO:</t>
  </si>
  <si>
    <t>PREÇO:</t>
  </si>
  <si>
    <t xml:space="preserve">                      Declaro para os devidos fins que os itens apresentados neste Orçamento Discriminativo estão com os quantitativos compatíveis com os projetos / especificações técnicas que compõem a proposta do referido Contrato de Repasse e os custos unitários previstos são iguais ou inferiores à mediana do SINAPI atendendo, portanto, à Lei de Diretrizes Orçamentárias - LDO em vigor. </t>
  </si>
  <si>
    <t>DRENAGEM SUPERFICIAL</t>
  </si>
  <si>
    <t>5.2</t>
  </si>
  <si>
    <t>OBRAS COMPLEMENTARES</t>
  </si>
  <si>
    <t>SERVIÇOS PRELIMINARES</t>
  </si>
  <si>
    <t>2.4</t>
  </si>
  <si>
    <t>2.5</t>
  </si>
  <si>
    <t>2.6</t>
  </si>
  <si>
    <t>2.7</t>
  </si>
  <si>
    <t>SUBTOTAL 5</t>
  </si>
  <si>
    <t>URBANIZAÇÃO</t>
  </si>
  <si>
    <t>Papagaios</t>
  </si>
  <si>
    <r>
      <t xml:space="preserve"> BDI =</t>
    </r>
    <r>
      <rPr>
        <u/>
        <sz val="11"/>
        <rFont val="Arial"/>
        <family val="2"/>
      </rPr>
      <t xml:space="preserve"> (1+AC+R+G)X(1+DF)x(1+L)</t>
    </r>
    <r>
      <rPr>
        <sz val="11"/>
        <rFont val="Arial"/>
        <family val="2"/>
      </rPr>
      <t xml:space="preserve">)  -1
                                  1-T
  </t>
    </r>
    <r>
      <rPr>
        <u/>
        <sz val="11"/>
        <rFont val="Arial"/>
        <family val="2"/>
      </rPr>
      <t>Observação</t>
    </r>
    <r>
      <rPr>
        <sz val="11"/>
        <rFont val="Arial"/>
        <family val="2"/>
      </rPr>
      <t>:
  i)   Composição do BDI, intervalos admissíveis e Fórmula de cálculo nos termos do Acórdão 2622/2013  do TCU.</t>
    </r>
  </si>
  <si>
    <t>PREFEITURA MUNICIPAL DE PAPAGAIOS</t>
  </si>
  <si>
    <t>MIN</t>
  </si>
  <si>
    <t>MED</t>
  </si>
  <si>
    <t>MAX</t>
  </si>
  <si>
    <t>Construção e Reforma de Edifícios</t>
  </si>
  <si>
    <t>AC</t>
  </si>
  <si>
    <t>SG</t>
  </si>
  <si>
    <t>R</t>
  </si>
  <si>
    <t>Nº TC/CR</t>
  </si>
  <si>
    <t>PROPONENTE / TOMADOR</t>
  </si>
  <si>
    <t>DF</t>
  </si>
  <si>
    <t>L</t>
  </si>
  <si>
    <t>BDI PAD</t>
  </si>
  <si>
    <t>OBJETO</t>
  </si>
  <si>
    <t>Construção de Praças Urbanas, Rodovias, Ferrovias e recapeamento e pavimentação de vias urbanas</t>
  </si>
  <si>
    <t>TIPO DE OBRA DO EMPREENDIMENTO</t>
  </si>
  <si>
    <t>DESONERAÇÃO</t>
  </si>
  <si>
    <t>Conforme legislação tributária municipal, definir estimativa de percentual da base de cálculo para o ISS:</t>
  </si>
  <si>
    <t>Construção de Redes de Abastecimento de Água, Coleta de Esgoto</t>
  </si>
  <si>
    <t>Sobre a base de cálculo, definir a respectiva alíquota do ISS (entre 2% e 5%):</t>
  </si>
  <si>
    <t>Itens</t>
  </si>
  <si>
    <t>Siglas</t>
  </si>
  <si>
    <t>% Adotado</t>
  </si>
  <si>
    <t>Situação</t>
  </si>
  <si>
    <t>1º Quartil</t>
  </si>
  <si>
    <t>Médio</t>
  </si>
  <si>
    <t>3º Quartil</t>
  </si>
  <si>
    <t>-</t>
  </si>
  <si>
    <t>Construção e Manutenção de Estações e Redes de Distribuição de Energia Elétrica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</si>
  <si>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</si>
  <si>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</si>
  <si>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</si>
  <si>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</si>
  <si>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</si>
  <si>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</si>
  <si>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
(Fórmula Acórdão TCU)</t>
  </si>
  <si>
    <t>Obras Portuárias, Marítimas e Fluviais</t>
  </si>
  <si>
    <t>BDI COM desoneração</t>
  </si>
  <si>
    <t>BDI DES</t>
  </si>
  <si>
    <t>Anexo: Relatório Técnico Circunstanciado justificando a adoção do percentual de cada parcela do BDI.</t>
  </si>
  <si>
    <t>Os valores de BDI foram calculados com o emprego da fórmula:</t>
  </si>
  <si>
    <t xml:space="preserve"> - 1</t>
  </si>
  <si>
    <t>Fornecimento de Materiais e Equipamentos (aquisição indireta - em conjunto com licitação de obras)</t>
  </si>
  <si>
    <t>Observações:</t>
  </si>
  <si>
    <t>Local</t>
  </si>
  <si>
    <t>Data</t>
  </si>
  <si>
    <t>Estudos e Projetos, Planos e Gerenciamento e outros correlatos</t>
  </si>
  <si>
    <t>K1</t>
  </si>
  <si>
    <t>K2</t>
  </si>
  <si>
    <t/>
  </si>
  <si>
    <t>Responsável Técnico</t>
  </si>
  <si>
    <t>Responsável Tomador</t>
  </si>
  <si>
    <t>Nome:</t>
  </si>
  <si>
    <t>K3</t>
  </si>
  <si>
    <t>Título:</t>
  </si>
  <si>
    <t>Cargo:</t>
  </si>
  <si>
    <t>QUADRO COMPOSIÇÃO BDI</t>
  </si>
  <si>
    <t>EMPREITADA POR PREÇO GLOBAL</t>
  </si>
  <si>
    <t>M³Xkm</t>
  </si>
  <si>
    <t>SETOP</t>
  </si>
  <si>
    <t>CRONOGRAMA FÍSICO-FINANCEIRO</t>
  </si>
  <si>
    <t xml:space="preserve">PREFEITURA:MUNICIPAL DE PAPAGAIOS </t>
  </si>
  <si>
    <t>OBRA: PAVIMENTAÇÃO ASFALTICA EM CBUQ</t>
  </si>
  <si>
    <t>ETAPAS/DESCRIÇÃO</t>
  </si>
  <si>
    <t>FÍSICO/ FINANCEIRO</t>
  </si>
  <si>
    <t>TOTAL  ETAPAS</t>
  </si>
  <si>
    <t>MÊS 1</t>
  </si>
  <si>
    <t>MÊS 2</t>
  </si>
  <si>
    <t>MÊS 3</t>
  </si>
  <si>
    <t>Físico %</t>
  </si>
  <si>
    <t>Financeiro</t>
  </si>
  <si>
    <t>TOTAL</t>
  </si>
  <si>
    <t>LOCAL:DIVERSAS RUAS PAPAGAIOS MG</t>
  </si>
  <si>
    <t>PAVIMENTAÇAO ASFALTICA</t>
  </si>
  <si>
    <t>KARINA ERICA DE OLIVEIRA</t>
  </si>
  <si>
    <t xml:space="preserve">ARQUITETA </t>
  </si>
  <si>
    <t>A42262-2</t>
  </si>
  <si>
    <t>M3</t>
  </si>
  <si>
    <t>M3/KM</t>
  </si>
  <si>
    <t>EXECUÇÃO E COMPACTAÇÃO DE BASE E OU SUB-BASE PARA PAVIMENTAÇÃO DE SOLO 
(PREDOMINANTEMENTE ARGILOSO) BRITA - 50/50 - EXCLUSIVE SOLO, ESCAVAÇÃO, CARGA E TRANSPORTE. AF_11/2019</t>
  </si>
  <si>
    <t>5.3</t>
  </si>
  <si>
    <t>5.4</t>
  </si>
  <si>
    <t>2.8</t>
  </si>
  <si>
    <t>POSTE DE AÇO CONICO CONTÍNUO CURVO DUPLO, FLANGEADO, H=9M, INCLUSIVE LUMINÁRIAS, SEM LÂMPADAS - FORNECIMENTO E INSTALACAO. AF_11/2019</t>
  </si>
  <si>
    <t>LUMINÁRIA DE LED PARA ILUMINAÇÃO PÚBLICA, DE 98 W ATÉ 137W - FORNECIME NTO E INSTALAÇÃO. AF_08/2020</t>
  </si>
  <si>
    <t>M</t>
  </si>
  <si>
    <t>M2</t>
  </si>
  <si>
    <t>1.2</t>
  </si>
  <si>
    <t>5.5</t>
  </si>
  <si>
    <t>5.6</t>
  </si>
  <si>
    <t>5.7</t>
  </si>
  <si>
    <t>PINTURA DE EIXO VIÁRIO SOBRE ASFALTO COM TINTA RETRORREFLETIVA A BASE  DE RESINA ACRÍLICA COM MICROESFERAS DE VIDRO, APLICAÇÃO MECÂNICA COM D
 EMARCADORA AUTOPROPELIDA. AF_05/2021</t>
  </si>
  <si>
    <t xml:space="preserve">PINTURA DE SÍMBOLOS E TEXTOS COM TINTA ACRÍLICA, DEMARCAÇÃO COM FITA A DESIVA E APLICAÇÃO COM ROLO. </t>
  </si>
  <si>
    <t>PINTURA DE FAIXA DE PEDESTRE OU ZEBRADA COM TINTA EPÓXI, E = 30 CM, A PLICAÇÃO MANUAL. AF_05/2021</t>
  </si>
  <si>
    <t>RECAPEAMENTO</t>
  </si>
  <si>
    <t>PAVIMENTAÇÃO E REVITALIZAÇÃO DE VIAS NO MUNICIPIO DE PAPAGAIOS-MG</t>
  </si>
  <si>
    <t>1.3</t>
  </si>
  <si>
    <t>1.4</t>
  </si>
  <si>
    <t xml:space="preserve">DEMOLIÇÃO DE SARJETA OU SARJETÃO DE CONCRETO </t>
  </si>
  <si>
    <t>ED-48507</t>
  </si>
  <si>
    <t>REMOÇÃO DE MEIO-FIO PRÉ-MOLDADO DE CONCRETO INCLUSIVE 
CARGA</t>
  </si>
  <si>
    <t>ED-48472</t>
  </si>
  <si>
    <t>1.5</t>
  </si>
  <si>
    <t>CR 920291/2021</t>
  </si>
  <si>
    <t>APOIO A POLITICA NACIONAL DE DESENVOLVIMENTO URBANO VOLTADO A IMPLANTAÇAO E QUALIFICAÇAO VIARIA</t>
  </si>
  <si>
    <t>MINISTERIO DO DESENVOLVIMENTO REGIONAL</t>
  </si>
  <si>
    <t xml:space="preserve">DEMOLIÇÃO DE REVESTIMENTO CERÂMICO, DE FORMA MANUAL, SEM REAPROVEITAME </t>
  </si>
  <si>
    <t>UM</t>
  </si>
  <si>
    <t xml:space="preserve">EXECUÇÃO DE PASSEIO EM PISO INTERTRAVADO, COM BLOCO RETANGULAR COR NAT URAL DE 20 X 10 CM, ESPESSURA 6 CM. </t>
  </si>
  <si>
    <t>NÃO</t>
  </si>
  <si>
    <t xml:space="preserve">IMPRIMAÇÃO (EXECUÇÃO E FORNECIMENTO DO MATERIALBETUMINOSO, EXCLUSIVE TRANSPORTE DO MATERIAL BETUMINOSO) </t>
  </si>
  <si>
    <t>3.3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</si>
  <si>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</si>
  <si>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</si>
  <si>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</si>
  <si>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</si>
  <si>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</si>
  <si>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</si>
  <si>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</si>
  <si>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</si>
  <si>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</si>
  <si>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</si>
  <si>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</si>
  <si>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MÊS 4</t>
  </si>
  <si>
    <t xml:space="preserve">RO-51228 </t>
  </si>
  <si>
    <t>RT KARINA ERICA DE OLIVEIRA</t>
  </si>
  <si>
    <t>_______________________________________________________________________________________________________________________________________________________________________________________________</t>
  </si>
  <si>
    <t>CAU A42262-2___________________________________________</t>
  </si>
  <si>
    <t>RAMPA ELEVADA DE PEDESTRE</t>
  </si>
  <si>
    <t>7.1</t>
  </si>
  <si>
    <t>7.2</t>
  </si>
  <si>
    <t>7.3</t>
  </si>
  <si>
    <t>SUBTOTAL 7</t>
  </si>
  <si>
    <t>SUBTOTAL 6</t>
  </si>
  <si>
    <t>PLANTIO DE GRAMA ESMERALDA OU SÃO CARLOS OU CURITIBANA, EM PLACAS INCLUSIVE PREPARO</t>
  </si>
  <si>
    <t>CONCRETO CICLÓPICO FCK = 15MPA, 30% PEDRA DE MÃO EM VOLUME REAL, INCLU SIVE LANÇAMENTO</t>
  </si>
  <si>
    <t>Pintura de ligação (Execução e fornecimento do material betuminoso,
exclusive transporte do material betuminoso)</t>
  </si>
  <si>
    <t>RO-51229</t>
  </si>
  <si>
    <t>08/23SINAPI NÃO DESONERADO 04/23SETOP</t>
  </si>
  <si>
    <t>REGULARIZAÇÃO E COMPACTAÇÃO DE SUBLEITO DE SOLO PREDOMINANTEMENTE ARGILOSO.</t>
  </si>
  <si>
    <t>EXECUÇÃO DE PAVIMENTO COM APLICAÇÃO DE CONCRETO ASFÁLTICO, CAMADA DE ROLAMENTO - EXCLUSIVE CARGA E TRANSPORTE.</t>
  </si>
  <si>
    <t>txkm</t>
  </si>
  <si>
    <t>2.9</t>
  </si>
  <si>
    <t>5.8</t>
  </si>
  <si>
    <t>6.12</t>
  </si>
  <si>
    <t>GUIA (MEIO-FIO) CONCRETO, MOLDADA IN LOCO EM TRECHO RETO COM EXTRUSORA, 13 CM BASE X 22 CM ALTURA.</t>
  </si>
  <si>
    <t>6.13</t>
  </si>
  <si>
    <t xml:space="preserve">RAMPA PARA ACESSO DE DEFICIENTE, EM CONCRETO SIMPLES
FCK = 25 MPA, DESEMPENADA, COM PINTURA INDICATIVA, 02
DEMÃOS
</t>
  </si>
  <si>
    <t>ED-51148</t>
  </si>
  <si>
    <t>Rislâine de Faria Cançado</t>
  </si>
  <si>
    <t>PREFEITA MUNICIPAL</t>
  </si>
  <si>
    <t>KARINA ERICA DE OLIVEIRA  ARQUITETA CAU A42262-2</t>
  </si>
  <si>
    <t>1.1</t>
  </si>
  <si>
    <t>FORNECIMENTO E INSTALAÇÃO DE PLACA DE OBRA COM CHAPA GALVANIZADA E EST RUTURA DE MADEIRA.</t>
  </si>
  <si>
    <t>LIMPEZA MECANIZADA DE CAMADA VEGETAL, VEGETAÇÃO E PEQUENAS ÁRVORES DIÂMETRO DE TRONCO MENOR QUE 0,20 M), COM TRATOR DE ESTEIRAS.</t>
  </si>
  <si>
    <t xml:space="preserve"> Sarjeta triangular de concreto - STC 80-15 - escavação mecânica - areia e brita comerciais</t>
  </si>
  <si>
    <t>SICRO</t>
  </si>
  <si>
    <t xml:space="preserve">PISO PODOTÁTIL DE ALERTA OU DIRECIONAL, DE CONCRETO, ASSENTADO SOBRE ARGAMASSA. </t>
  </si>
  <si>
    <t xml:space="preserve">HASTE DE ATERRAMENTO, DIÂMETRO 5/8", COM 3 METROS - FORNECIMENTO E INSTALAÇÃO. </t>
  </si>
  <si>
    <t xml:space="preserve">CAIXA DE INSPEÇÃO PARA ATERRAMENTO, CIRCULAR, EM POLIETILENO, DIÂMETRO  INTERNO = 0,3 M. </t>
  </si>
  <si>
    <t xml:space="preserve">CABO DE COBRE FLEXÍVEL ISOLADO, 16 MM², ANTI-CHAMA 0,6/1,0 KV, PARA DISTRIBUIÇÃO - FORNECIMENTO E INSTALAÇÃO. </t>
  </si>
  <si>
    <t xml:space="preserve">RELÉ FOTOELÉTRICO PARA COMANDO DE ILUMINAÇÃO EXTERNA 1000 W - FORNECIMENTO E INSTALAÇÃO. </t>
  </si>
  <si>
    <t xml:space="preserve">ELETRODUTO FLEXÍVEL CORRUGADO, PEAD, DN 50 (1 1/2"), PARA REDE ENTERRA DA DE DISTRIBUIÇÃO DE ENERGIA ELÉTRICA - FORNECIMENTO E INSTALAÇÃO. </t>
  </si>
  <si>
    <t>CAIXA ENTERRADA ELÉTRICA RETANGULAR, EM CONCRETO PRÉ-MOLDADO, FUNDO COM BRITA, DIMENSÕES INTERNAS: 0,3X0,3X0,3 M.</t>
  </si>
  <si>
    <t>ENTRADA DE ENERGIA ELÉTRICA, AÉREA, BIFÁSICA, COM CAIXA DE EMBUTIR, CABO DE 16 MM2 E DISJUNTOR DIN 50A (NÃO INCLUSO O POSTE DE CONCRETO).</t>
  </si>
  <si>
    <t xml:space="preserve">FABRICAÇÃO, MONTAGEM E DESMONTAGEM DE FÔRMA PARA VIGA BALDRAME, EM MADEIRA SERRADA, E=25 MM, 4 UTILIZAÇÕES. </t>
  </si>
  <si>
    <t xml:space="preserve">TUBO PVC, SÉRIE R, ÁGUA PLUVIAL, DN 150 MM, FORNECIDO E INSTALADO EM CONDUTORES VERTICAIS DE ÁGUAS PLUVIAIS. AF_06/2022
</t>
  </si>
  <si>
    <t>Tachão refletivo em plástico injetado - bidirecional - fornecimento e colocação</t>
  </si>
  <si>
    <t>Placa de regulamentação em aço, R1 lado 0,248 m - película retrorrefletiva tipo I + SI - fornecimento e implantação</t>
  </si>
  <si>
    <t>Placa de regulamentação em aço D = 0,60 m - película retrorrefletiva tipo I + SI - fornecimento e implantação</t>
  </si>
  <si>
    <t xml:space="preserve"> Placa de regulamentação em aço, R1 lado 0,331 m - película retrorrefletiva tipo I + SI - fornecimento e implantação</t>
  </si>
  <si>
    <t xml:space="preserve"> Suporte metálico galvanizado para placa de regulamentação - R1 - lado de 0,248 m - fornecimento e implantação</t>
  </si>
  <si>
    <t xml:space="preserve"> Suporte metálico galvanizado para placa de regulamentação - R2 - lado de 0,60 m - fornecimento e implantação</t>
  </si>
  <si>
    <t xml:space="preserve"> Suporte metálico galvanizado para placa de regulamentação - R1 - lado de 0,331 m - fornecimento e implantação</t>
  </si>
  <si>
    <t>5.9</t>
  </si>
  <si>
    <t>5.10</t>
  </si>
  <si>
    <t>QUADRO DE DISTRIBUIÇÃO DE ENERGIA EM CHAPA DE AÇO GALVANIZADO, DE SOBREPOR, COM BARRAMENTO TRIFÁSICO, PARA 18 DISJUNTORES DIN 100A - FORNECI MENTO E INSTALAÇÃO</t>
  </si>
  <si>
    <t>6.14</t>
  </si>
  <si>
    <t>6.15</t>
  </si>
  <si>
    <t>6.16</t>
  </si>
  <si>
    <t>CORDOALHA DE COBRE NU 50 MM², ENTERRADA - FORNECIMENTO E INSTALAÇÃO</t>
  </si>
  <si>
    <t>ADMINISTRAÇAO LOCAL</t>
  </si>
  <si>
    <t>8.1</t>
  </si>
  <si>
    <t>SUBTOTAL 8</t>
  </si>
  <si>
    <t>2.10</t>
  </si>
  <si>
    <t>2.11</t>
  </si>
  <si>
    <t xml:space="preserve">TRANSPORTE COM CAMINHÃO BASCULANTE DE 14 M³, EM VIA URBANA PAVIMENTADA, M3XKM DMT ATÉ 30 KM </t>
  </si>
  <si>
    <t>TRANSPORTE COM CAMINHÃO TANQUE DE TRANSPORTE DE MATERIAL ASFALTICO  DE 30000 L , EM VIA URBANA PAVIMENTADA ,DMT ATE 30 KM</t>
  </si>
  <si>
    <t>TRANSPORTE COM CAMINHAO TANQUE DE TRANSPORTE DE MATERIAL ASFALTICO DE 30000 L, EM VIA URBANA PAVIMENTADA ADICIONAL PARA DMT EXCEDENTE A30 KM</t>
  </si>
  <si>
    <t>TXKM</t>
  </si>
  <si>
    <t>PINTURA DE LIGAÇAO (EXECUÇAO E FORNECIMENTO DO MATERIAL BETUMINOSO EXCLUSIVE TRANSPORTE  DO MATERIAL BETUMINOSO)</t>
  </si>
  <si>
    <t>TRANSPORTE COM CAMINHAO BASCULANTE DE 14 M3, EM VIA URBANA PAVIMENTADA DMT ATE 30 KM</t>
  </si>
  <si>
    <t>M3XKM</t>
  </si>
  <si>
    <t>TRANSPORTE COM CAMINHÃO BASCULANTE DE 14M³, EM VIA URBANA PAVIMENTADA M3XKM  , ADICIONAL PARA DMT EXCEDENTE A 30 KM</t>
  </si>
  <si>
    <t>3.4</t>
  </si>
  <si>
    <t>3.5</t>
  </si>
  <si>
    <t>3.6</t>
  </si>
  <si>
    <t>TRANSPORTE COM CAMINHÃO BASCULANTE DE 14 M³, EM VIA URBANA PAVIMENTADA M3XKM  , ADICIONAL PARA DMT EXCEDENTE A 30 KM (UNIDADE: M3XKM). AF_07/2020</t>
  </si>
  <si>
    <t>ASSENTAMENTO DE GUIA MEIO FIO EM TRECHO RETO , CONFECCIONADA EM CONCRETO PRE FABRICADO DIMENSOES 100X15X13X30(COMPRIMENTO X BASE INFERIOR X BASE SUPERIOR X ALTURA)PARA VIAS URBANAS</t>
  </si>
  <si>
    <t>4.2</t>
  </si>
  <si>
    <t>8.2</t>
  </si>
  <si>
    <t>ENGENHEIRO CIVIL DE OBRA PLENO COM ENCARGOS COMPLEMENTARES</t>
  </si>
  <si>
    <t>ENCARREGADO GERAL COM ENCARGOS COMPLEMENTARES</t>
  </si>
  <si>
    <t>H</t>
  </si>
  <si>
    <t>2.12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</si>
</sst>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[$-416]mmmm\-yyyy;@"/>
    <numFmt numFmtId="167" formatCode="#,##0.00_ ;\-#,##0.00\ "/>
    <numFmt numFmtId="168" formatCode="General;General;"/>
    <numFmt numFmtId="169" formatCode="[$-F800]dddd\,\ mmmm\ dd\,\ yyyy"/>
    <numFmt numFmtId="170" formatCode="dd\ &quot;de&quot;\ mmmm\ &quot;de&quot;\ yyyy"/>
    <numFmt numFmtId="171" formatCode="&quot;R$ &quot;#,##0.00"/>
  </numFmts>
  <fonts count="3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z val="4"/>
      <name val="Arial"/>
      <family val="2"/>
    </font>
    <font>
      <sz val="9"/>
      <name val="Arial"/>
      <family val="2"/>
    </font>
    <font>
      <sz val="1"/>
      <name val="Arial"/>
      <family val="2"/>
    </font>
    <font>
      <sz val="9"/>
      <color rgb="FFFF000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u/>
      <sz val="15"/>
      <name val="Arial"/>
      <family val="2"/>
    </font>
    <font>
      <sz val="11"/>
      <color indexed="9"/>
      <name val="Arial"/>
      <family val="2"/>
    </font>
    <font>
      <b/>
      <sz val="11"/>
      <color indexed="12"/>
      <name val="Arial"/>
      <family val="2"/>
    </font>
    <font>
      <b/>
      <sz val="18"/>
      <name val="Arial"/>
      <family val="2"/>
    </font>
    <font>
      <sz val="10.5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6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3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</cellStyleXfs>
  <cellXfs count="550">
    <xf numFmtId="0" fontId="0" fillId="0" borderId="0" xfId="0"/>
    <xf numFmtId="0" fontId="7" fillId="6" borderId="0" xfId="0" applyFont="1" applyFill="1" applyBorder="1" applyAlignment="1" applyProtection="1">
      <alignment horizontal="left" vertical="center"/>
    </xf>
    <xf numFmtId="0" fontId="7" fillId="6" borderId="0" xfId="0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8" fillId="6" borderId="0" xfId="0" applyFont="1" applyFill="1" applyBorder="1" applyAlignment="1" applyProtection="1">
      <alignment horizontal="left" vertical="center"/>
    </xf>
    <xf numFmtId="0" fontId="7" fillId="6" borderId="11" xfId="0" applyFont="1" applyFill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Continuous" vertical="center"/>
    </xf>
    <xf numFmtId="0" fontId="7" fillId="6" borderId="11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6" borderId="22" xfId="0" applyFont="1" applyFill="1" applyBorder="1" applyAlignment="1" applyProtection="1">
      <alignment horizontal="left" vertical="center"/>
    </xf>
    <xf numFmtId="10" fontId="7" fillId="6" borderId="21" xfId="0" applyNumberFormat="1" applyFont="1" applyFill="1" applyBorder="1" applyAlignment="1" applyProtection="1">
      <alignment vertical="center"/>
    </xf>
    <xf numFmtId="0" fontId="7" fillId="6" borderId="22" xfId="0" applyFont="1" applyFill="1" applyBorder="1" applyAlignment="1" applyProtection="1">
      <alignment horizontal="center" vertical="center"/>
    </xf>
    <xf numFmtId="0" fontId="7" fillId="6" borderId="21" xfId="0" applyFont="1" applyFill="1" applyBorder="1" applyAlignment="1" applyProtection="1">
      <alignment vertical="center"/>
    </xf>
    <xf numFmtId="0" fontId="7" fillId="6" borderId="22" xfId="0" applyFont="1" applyFill="1" applyBorder="1" applyAlignment="1" applyProtection="1">
      <alignment vertical="center"/>
    </xf>
    <xf numFmtId="0" fontId="7" fillId="6" borderId="24" xfId="0" applyFont="1" applyFill="1" applyBorder="1" applyAlignment="1" applyProtection="1">
      <alignment horizontal="left" vertical="center"/>
    </xf>
    <xf numFmtId="10" fontId="7" fillId="6" borderId="23" xfId="0" applyNumberFormat="1" applyFont="1" applyFill="1" applyBorder="1" applyAlignment="1" applyProtection="1">
      <alignment vertical="center"/>
    </xf>
    <xf numFmtId="0" fontId="7" fillId="6" borderId="24" xfId="0" applyFont="1" applyFill="1" applyBorder="1" applyAlignment="1" applyProtection="1">
      <alignment horizontal="center" vertical="center"/>
    </xf>
    <xf numFmtId="0" fontId="7" fillId="6" borderId="23" xfId="0" applyFont="1" applyFill="1" applyBorder="1" applyAlignment="1" applyProtection="1">
      <alignment vertical="center"/>
    </xf>
    <xf numFmtId="0" fontId="7" fillId="6" borderId="24" xfId="0" applyFont="1" applyFill="1" applyBorder="1" applyAlignment="1" applyProtection="1">
      <alignment vertical="center"/>
    </xf>
    <xf numFmtId="0" fontId="7" fillId="6" borderId="26" xfId="0" applyFont="1" applyFill="1" applyBorder="1" applyAlignment="1" applyProtection="1">
      <alignment horizontal="left" vertical="center"/>
    </xf>
    <xf numFmtId="0" fontId="7" fillId="6" borderId="26" xfId="0" applyFont="1" applyFill="1" applyBorder="1" applyAlignment="1" applyProtection="1">
      <alignment horizontal="center" vertical="center"/>
    </xf>
    <xf numFmtId="0" fontId="7" fillId="6" borderId="25" xfId="0" applyFont="1" applyFill="1" applyBorder="1" applyAlignment="1" applyProtection="1">
      <alignment vertical="center"/>
    </xf>
    <xf numFmtId="0" fontId="7" fillId="6" borderId="26" xfId="0" applyFont="1" applyFill="1" applyBorder="1" applyAlignment="1" applyProtection="1">
      <alignment vertical="center"/>
    </xf>
    <xf numFmtId="0" fontId="8" fillId="3" borderId="17" xfId="0" applyFont="1" applyFill="1" applyBorder="1" applyAlignment="1" applyProtection="1">
      <alignment vertical="center"/>
    </xf>
    <xf numFmtId="0" fontId="8" fillId="3" borderId="27" xfId="0" applyFont="1" applyFill="1" applyBorder="1" applyAlignment="1" applyProtection="1">
      <alignment vertical="center"/>
    </xf>
    <xf numFmtId="0" fontId="8" fillId="3" borderId="18" xfId="0" applyFont="1" applyFill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vertical="center"/>
    </xf>
    <xf numFmtId="0" fontId="8" fillId="3" borderId="16" xfId="0" applyFont="1" applyFill="1" applyBorder="1" applyAlignment="1" applyProtection="1">
      <alignment vertical="center"/>
    </xf>
    <xf numFmtId="10" fontId="7" fillId="0" borderId="9" xfId="3" applyNumberFormat="1" applyFont="1" applyBorder="1" applyAlignment="1" applyProtection="1">
      <alignment vertical="center"/>
    </xf>
    <xf numFmtId="0" fontId="8" fillId="3" borderId="19" xfId="0" applyFont="1" applyFill="1" applyBorder="1" applyAlignment="1" applyProtection="1">
      <alignment vertical="center"/>
    </xf>
    <xf numFmtId="0" fontId="8" fillId="3" borderId="28" xfId="0" applyFont="1" applyFill="1" applyBorder="1" applyAlignment="1" applyProtection="1">
      <alignment vertical="center"/>
    </xf>
    <xf numFmtId="0" fontId="8" fillId="3" borderId="20" xfId="0" applyFont="1" applyFill="1" applyBorder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43" fontId="7" fillId="0" borderId="0" xfId="0" applyNumberFormat="1" applyFont="1" applyAlignment="1" applyProtection="1">
      <alignment vertical="center"/>
    </xf>
    <xf numFmtId="43" fontId="7" fillId="0" borderId="0" xfId="0" applyNumberFormat="1" applyFont="1" applyBorder="1" applyAlignment="1" applyProtection="1">
      <alignment vertical="center"/>
    </xf>
    <xf numFmtId="165" fontId="7" fillId="0" borderId="0" xfId="0" applyNumberFormat="1" applyFont="1" applyAlignment="1" applyProtection="1">
      <alignment vertical="center"/>
    </xf>
    <xf numFmtId="0" fontId="0" fillId="0" borderId="0" xfId="0"/>
    <xf numFmtId="0" fontId="7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7" fillId="6" borderId="26" xfId="0" applyFont="1" applyFill="1" applyBorder="1" applyAlignment="1" applyProtection="1">
      <alignment horizontal="right" vertical="center"/>
    </xf>
    <xf numFmtId="9" fontId="7" fillId="6" borderId="26" xfId="0" applyNumberFormat="1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</xf>
    <xf numFmtId="0" fontId="1" fillId="0" borderId="0" xfId="8" applyFont="1" applyProtection="1"/>
    <xf numFmtId="0" fontId="2" fillId="0" borderId="0" xfId="8" applyFont="1" applyAlignment="1" applyProtection="1">
      <alignment horizontal="center"/>
    </xf>
    <xf numFmtId="0" fontId="3" fillId="0" borderId="0" xfId="8" applyFont="1" applyAlignment="1" applyProtection="1">
      <alignment horizontal="center"/>
    </xf>
    <xf numFmtId="0" fontId="2" fillId="0" borderId="9" xfId="8" applyFont="1" applyBorder="1" applyAlignment="1" applyProtection="1">
      <alignment horizontal="center"/>
    </xf>
    <xf numFmtId="10" fontId="18" fillId="0" borderId="9" xfId="8" applyNumberFormat="1" applyFont="1" applyFill="1" applyBorder="1" applyAlignment="1" applyProtection="1">
      <alignment horizontal="center"/>
    </xf>
    <xf numFmtId="0" fontId="19" fillId="0" borderId="0" xfId="8" applyFont="1" applyAlignment="1" applyProtection="1"/>
    <xf numFmtId="0" fontId="2" fillId="0" borderId="0" xfId="8" applyFont="1" applyProtection="1"/>
    <xf numFmtId="0" fontId="2" fillId="0" borderId="9" xfId="8" applyFont="1" applyFill="1" applyBorder="1" applyAlignment="1" applyProtection="1">
      <alignment horizontal="center" vertical="center" wrapText="1"/>
    </xf>
    <xf numFmtId="0" fontId="15" fillId="0" borderId="9" xfId="8" applyFont="1" applyBorder="1" applyAlignment="1" applyProtection="1">
      <alignment horizontal="center" vertical="center"/>
    </xf>
    <xf numFmtId="10" fontId="15" fillId="9" borderId="9" xfId="8" applyNumberFormat="1" applyFont="1" applyFill="1" applyBorder="1" applyAlignment="1" applyProtection="1">
      <alignment horizontal="center" vertical="center"/>
      <protection locked="0"/>
    </xf>
    <xf numFmtId="4" fontId="6" fillId="0" borderId="9" xfId="8" applyNumberFormat="1" applyFont="1" applyFill="1" applyBorder="1" applyAlignment="1" applyProtection="1">
      <alignment horizontal="center" vertical="center"/>
    </xf>
    <xf numFmtId="10" fontId="15" fillId="0" borderId="9" xfId="8" applyNumberFormat="1" applyFont="1" applyFill="1" applyBorder="1" applyAlignment="1" applyProtection="1">
      <alignment horizontal="center" vertical="center"/>
    </xf>
    <xf numFmtId="10" fontId="15" fillId="0" borderId="9" xfId="8" applyNumberFormat="1" applyFont="1" applyFill="1" applyBorder="1" applyAlignment="1" applyProtection="1">
      <alignment horizontal="center" vertical="center" wrapText="1"/>
    </xf>
    <xf numFmtId="0" fontId="15" fillId="0" borderId="9" xfId="8" applyFont="1" applyFill="1" applyBorder="1" applyAlignment="1" applyProtection="1">
      <alignment horizontal="center" vertical="center" wrapText="1"/>
    </xf>
    <xf numFmtId="4" fontId="6" fillId="0" borderId="9" xfId="8" applyNumberFormat="1" applyFont="1" applyFill="1" applyBorder="1" applyAlignment="1" applyProtection="1">
      <alignment horizontal="center" vertical="center" wrapText="1"/>
    </xf>
    <xf numFmtId="0" fontId="20" fillId="0" borderId="0" xfId="8" applyFont="1" applyFill="1" applyBorder="1" applyAlignment="1" applyProtection="1">
      <alignment horizontal="center" vertical="center" wrapText="1"/>
    </xf>
    <xf numFmtId="10" fontId="20" fillId="0" borderId="0" xfId="8" applyNumberFormat="1" applyFont="1" applyFill="1" applyBorder="1" applyAlignment="1" applyProtection="1">
      <alignment horizontal="center" vertical="center"/>
    </xf>
    <xf numFmtId="4" fontId="6" fillId="0" borderId="0" xfId="8" applyNumberFormat="1" applyFont="1" applyFill="1" applyBorder="1" applyAlignment="1" applyProtection="1">
      <alignment horizontal="center" vertical="center" wrapText="1"/>
    </xf>
    <xf numFmtId="0" fontId="22" fillId="0" borderId="9" xfId="8" applyFont="1" applyBorder="1" applyAlignment="1" applyProtection="1">
      <alignment horizontal="center" vertical="center"/>
    </xf>
    <xf numFmtId="0" fontId="1" fillId="0" borderId="0" xfId="8" applyFont="1" applyBorder="1" applyAlignment="1" applyProtection="1">
      <alignment horizontal="center" vertical="top"/>
    </xf>
    <xf numFmtId="0" fontId="26" fillId="0" borderId="0" xfId="8" applyFont="1" applyBorder="1" applyAlignment="1" applyProtection="1">
      <alignment horizontal="center" vertical="top"/>
    </xf>
    <xf numFmtId="170" fontId="1" fillId="0" borderId="0" xfId="8" applyNumberFormat="1" applyFont="1" applyAlignment="1" applyProtection="1"/>
    <xf numFmtId="0" fontId="2" fillId="0" borderId="18" xfId="8" applyFont="1" applyBorder="1" applyAlignment="1" applyProtection="1">
      <alignment horizontal="left"/>
    </xf>
    <xf numFmtId="0" fontId="1" fillId="0" borderId="18" xfId="8" applyFont="1" applyBorder="1" applyProtection="1"/>
    <xf numFmtId="0" fontId="15" fillId="0" borderId="0" xfId="8" applyFont="1" applyBorder="1" applyProtection="1"/>
    <xf numFmtId="0" fontId="1" fillId="0" borderId="0" xfId="8" applyFont="1" applyBorder="1" applyProtection="1"/>
    <xf numFmtId="0" fontId="2" fillId="0" borderId="0" xfId="11" applyFont="1" applyBorder="1" applyAlignment="1" applyProtection="1">
      <alignment horizontal="left" vertical="top"/>
    </xf>
    <xf numFmtId="0" fontId="15" fillId="0" borderId="0" xfId="8" applyFont="1" applyProtection="1"/>
    <xf numFmtId="0" fontId="7" fillId="6" borderId="18" xfId="0" applyFont="1" applyFill="1" applyBorder="1" applyAlignment="1" applyProtection="1">
      <alignment horizontal="left" vertical="center"/>
    </xf>
    <xf numFmtId="0" fontId="7" fillId="6" borderId="18" xfId="0" applyFont="1" applyFill="1" applyBorder="1" applyAlignment="1" applyProtection="1">
      <alignment vertical="center"/>
    </xf>
    <xf numFmtId="0" fontId="7" fillId="6" borderId="20" xfId="0" applyFont="1" applyFill="1" applyBorder="1" applyAlignment="1" applyProtection="1">
      <alignment horizontal="left" vertical="center"/>
    </xf>
    <xf numFmtId="0" fontId="7" fillId="6" borderId="20" xfId="0" applyFont="1" applyFill="1" applyBorder="1" applyAlignment="1" applyProtection="1">
      <alignment vertical="center"/>
    </xf>
    <xf numFmtId="0" fontId="17" fillId="6" borderId="20" xfId="0" applyFont="1" applyFill="1" applyBorder="1" applyAlignment="1" applyProtection="1">
      <alignment horizontal="left" vertical="center"/>
    </xf>
    <xf numFmtId="0" fontId="0" fillId="6" borderId="0" xfId="0" applyFill="1" applyBorder="1" applyAlignment="1" applyProtection="1">
      <alignment vertical="center"/>
    </xf>
    <xf numFmtId="0" fontId="0" fillId="6" borderId="18" xfId="0" applyFill="1" applyBorder="1" applyAlignment="1" applyProtection="1">
      <alignment vertical="center"/>
    </xf>
    <xf numFmtId="0" fontId="7" fillId="6" borderId="7" xfId="0" applyFont="1" applyFill="1" applyBorder="1" applyAlignment="1" applyProtection="1">
      <alignment horizontal="left" vertical="center"/>
    </xf>
    <xf numFmtId="0" fontId="7" fillId="6" borderId="8" xfId="0" applyFont="1" applyFill="1" applyBorder="1" applyAlignment="1" applyProtection="1">
      <alignment horizontal="left" vertical="center"/>
    </xf>
    <xf numFmtId="0" fontId="7" fillId="6" borderId="8" xfId="0" applyFont="1" applyFill="1" applyBorder="1" applyAlignment="1" applyProtection="1">
      <alignment vertical="center"/>
    </xf>
    <xf numFmtId="0" fontId="7" fillId="6" borderId="13" xfId="0" applyFont="1" applyFill="1" applyBorder="1" applyAlignment="1" applyProtection="1">
      <alignment vertical="center"/>
    </xf>
    <xf numFmtId="0" fontId="7" fillId="6" borderId="1" xfId="0" applyFont="1" applyFill="1" applyBorder="1" applyAlignment="1" applyProtection="1">
      <alignment vertical="center"/>
    </xf>
    <xf numFmtId="0" fontId="8" fillId="6" borderId="0" xfId="0" applyFont="1" applyFill="1" applyBorder="1" applyAlignment="1" applyProtection="1">
      <alignment vertical="center"/>
    </xf>
    <xf numFmtId="0" fontId="7" fillId="6" borderId="5" xfId="0" applyFont="1" applyFill="1" applyBorder="1" applyAlignment="1" applyProtection="1">
      <alignment vertical="center"/>
    </xf>
    <xf numFmtId="0" fontId="8" fillId="6" borderId="1" xfId="0" applyFont="1" applyFill="1" applyBorder="1" applyAlignment="1" applyProtection="1">
      <alignment horizontal="left" vertical="center"/>
    </xf>
    <xf numFmtId="0" fontId="7" fillId="6" borderId="1" xfId="0" applyFont="1" applyFill="1" applyBorder="1" applyAlignment="1" applyProtection="1">
      <alignment horizontal="left" vertical="center"/>
    </xf>
    <xf numFmtId="0" fontId="10" fillId="6" borderId="1" xfId="0" applyFont="1" applyFill="1" applyBorder="1" applyAlignment="1" applyProtection="1">
      <alignment horizontal="left" vertical="center"/>
    </xf>
    <xf numFmtId="0" fontId="10" fillId="6" borderId="5" xfId="0" applyFont="1" applyFill="1" applyBorder="1" applyAlignment="1" applyProtection="1">
      <alignment vertical="center"/>
    </xf>
    <xf numFmtId="0" fontId="0" fillId="6" borderId="5" xfId="0" applyFill="1" applyBorder="1" applyAlignment="1" applyProtection="1">
      <alignment vertical="center"/>
    </xf>
    <xf numFmtId="0" fontId="7" fillId="6" borderId="52" xfId="0" applyFont="1" applyFill="1" applyBorder="1" applyAlignment="1" applyProtection="1">
      <alignment horizontal="left" vertical="center"/>
    </xf>
    <xf numFmtId="0" fontId="7" fillId="6" borderId="61" xfId="0" applyFont="1" applyFill="1" applyBorder="1" applyAlignment="1" applyProtection="1">
      <alignment vertical="center"/>
    </xf>
    <xf numFmtId="0" fontId="7" fillId="6" borderId="44" xfId="0" applyFont="1" applyFill="1" applyBorder="1" applyAlignment="1" applyProtection="1">
      <alignment horizontal="left" vertical="center"/>
    </xf>
    <xf numFmtId="0" fontId="7" fillId="6" borderId="60" xfId="0" applyFont="1" applyFill="1" applyBorder="1" applyAlignment="1" applyProtection="1">
      <alignment vertical="center"/>
    </xf>
    <xf numFmtId="0" fontId="7" fillId="6" borderId="62" xfId="0" applyFont="1" applyFill="1" applyBorder="1" applyAlignment="1" applyProtection="1">
      <alignment horizontal="left" vertical="center"/>
    </xf>
    <xf numFmtId="0" fontId="7" fillId="6" borderId="63" xfId="0" applyFont="1" applyFill="1" applyBorder="1" applyAlignment="1" applyProtection="1">
      <alignment horizontal="left" vertical="center"/>
    </xf>
    <xf numFmtId="0" fontId="7" fillId="6" borderId="64" xfId="0" applyFont="1" applyFill="1" applyBorder="1" applyAlignment="1" applyProtection="1">
      <alignment horizontal="left" vertical="center"/>
    </xf>
    <xf numFmtId="0" fontId="11" fillId="8" borderId="33" xfId="0" applyFont="1" applyFill="1" applyBorder="1" applyAlignment="1" applyProtection="1">
      <alignment horizontal="center" vertical="center"/>
      <protection locked="0"/>
    </xf>
    <xf numFmtId="0" fontId="7" fillId="8" borderId="33" xfId="0" applyFont="1" applyFill="1" applyBorder="1" applyAlignment="1" applyProtection="1">
      <alignment horizontal="center" vertical="center"/>
      <protection locked="0"/>
    </xf>
    <xf numFmtId="0" fontId="11" fillId="8" borderId="63" xfId="0" applyFont="1" applyFill="1" applyBorder="1" applyAlignment="1" applyProtection="1">
      <alignment vertical="center"/>
      <protection locked="0"/>
    </xf>
    <xf numFmtId="0" fontId="0" fillId="6" borderId="52" xfId="0" applyFill="1" applyBorder="1" applyAlignment="1" applyProtection="1">
      <alignment vertical="center"/>
    </xf>
    <xf numFmtId="0" fontId="0" fillId="6" borderId="61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8" fillId="7" borderId="33" xfId="0" applyFont="1" applyFill="1" applyBorder="1" applyAlignment="1" applyProtection="1">
      <alignment horizontal="center" vertical="center"/>
      <protection locked="0"/>
    </xf>
    <xf numFmtId="0" fontId="8" fillId="7" borderId="41" xfId="0" applyFont="1" applyFill="1" applyBorder="1" applyAlignment="1" applyProtection="1">
      <alignment horizontal="center" vertical="center"/>
      <protection locked="0"/>
    </xf>
    <xf numFmtId="0" fontId="29" fillId="3" borderId="52" xfId="0" applyFont="1" applyFill="1" applyBorder="1" applyAlignment="1" applyProtection="1">
      <alignment vertical="center"/>
    </xf>
    <xf numFmtId="0" fontId="29" fillId="3" borderId="18" xfId="0" applyFont="1" applyFill="1" applyBorder="1" applyAlignment="1" applyProtection="1">
      <alignment vertical="center"/>
    </xf>
    <xf numFmtId="0" fontId="14" fillId="3" borderId="27" xfId="0" applyFont="1" applyFill="1" applyBorder="1" applyAlignment="1" applyProtection="1">
      <alignment horizontal="right" vertical="center"/>
    </xf>
    <xf numFmtId="0" fontId="0" fillId="10" borderId="0" xfId="0" applyFill="1" applyBorder="1"/>
    <xf numFmtId="0" fontId="30" fillId="0" borderId="16" xfId="0" applyFont="1" applyBorder="1" applyAlignment="1">
      <alignment vertical="center"/>
    </xf>
    <xf numFmtId="0" fontId="0" fillId="10" borderId="11" xfId="0" applyFill="1" applyBorder="1"/>
    <xf numFmtId="0" fontId="0" fillId="10" borderId="16" xfId="0" applyFill="1" applyBorder="1"/>
    <xf numFmtId="0" fontId="8" fillId="10" borderId="1" xfId="0" applyFont="1" applyFill="1" applyBorder="1"/>
    <xf numFmtId="0" fontId="8" fillId="10" borderId="0" xfId="0" applyFont="1" applyFill="1" applyBorder="1" applyAlignment="1">
      <alignment wrapText="1"/>
    </xf>
    <xf numFmtId="0" fontId="2" fillId="10" borderId="0" xfId="0" applyFont="1" applyFill="1" applyBorder="1" applyAlignment="1">
      <alignment horizontal="right"/>
    </xf>
    <xf numFmtId="0" fontId="7" fillId="10" borderId="1" xfId="0" applyFont="1" applyFill="1" applyBorder="1"/>
    <xf numFmtId="0" fontId="7" fillId="10" borderId="0" xfId="0" applyFont="1" applyFill="1" applyBorder="1" applyAlignment="1">
      <alignment wrapText="1"/>
    </xf>
    <xf numFmtId="0" fontId="30" fillId="0" borderId="18" xfId="0" applyFont="1" applyBorder="1" applyAlignment="1">
      <alignment horizontal="center" vertical="center"/>
    </xf>
    <xf numFmtId="4" fontId="13" fillId="0" borderId="0" xfId="5" applyNumberFormat="1" applyFont="1" applyFill="1" applyBorder="1" applyAlignment="1" applyProtection="1">
      <alignment horizontal="right" vertical="center"/>
      <protection locked="0"/>
    </xf>
    <xf numFmtId="0" fontId="3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30" fillId="0" borderId="7" xfId="0" applyFont="1" applyBorder="1"/>
    <xf numFmtId="0" fontId="30" fillId="10" borderId="8" xfId="0" applyFont="1" applyFill="1" applyBorder="1"/>
    <xf numFmtId="0" fontId="30" fillId="10" borderId="8" xfId="0" applyFont="1" applyFill="1" applyBorder="1" applyAlignment="1">
      <alignment wrapText="1"/>
    </xf>
    <xf numFmtId="0" fontId="30" fillId="10" borderId="13" xfId="0" applyFont="1" applyFill="1" applyBorder="1"/>
    <xf numFmtId="0" fontId="30" fillId="10" borderId="1" xfId="0" applyFont="1" applyFill="1" applyBorder="1"/>
    <xf numFmtId="0" fontId="30" fillId="10" borderId="0" xfId="0" applyFont="1" applyFill="1" applyBorder="1"/>
    <xf numFmtId="0" fontId="30" fillId="10" borderId="0" xfId="0" applyFont="1" applyFill="1" applyBorder="1" applyAlignment="1">
      <alignment wrapText="1"/>
    </xf>
    <xf numFmtId="0" fontId="5" fillId="10" borderId="48" xfId="0" applyFont="1" applyFill="1" applyBorder="1" applyAlignment="1">
      <alignment horizontal="center" vertical="center"/>
    </xf>
    <xf numFmtId="0" fontId="5" fillId="10" borderId="49" xfId="0" applyFont="1" applyFill="1" applyBorder="1" applyAlignment="1">
      <alignment horizontal="center" vertical="center"/>
    </xf>
    <xf numFmtId="0" fontId="5" fillId="10" borderId="49" xfId="0" applyFont="1" applyFill="1" applyBorder="1" applyAlignment="1">
      <alignment horizontal="center" vertical="center" wrapText="1"/>
    </xf>
    <xf numFmtId="0" fontId="5" fillId="10" borderId="53" xfId="0" applyFont="1" applyFill="1" applyBorder="1" applyAlignment="1">
      <alignment horizontal="center" vertical="center"/>
    </xf>
    <xf numFmtId="49" fontId="31" fillId="10" borderId="75" xfId="0" applyNumberFormat="1" applyFont="1" applyFill="1" applyBorder="1" applyAlignment="1">
      <alignment horizontal="center" vertical="top" wrapText="1"/>
    </xf>
    <xf numFmtId="10" fontId="31" fillId="10" borderId="75" xfId="0" applyNumberFormat="1" applyFont="1" applyFill="1" applyBorder="1" applyAlignment="1">
      <alignment vertical="top" wrapText="1"/>
    </xf>
    <xf numFmtId="10" fontId="31" fillId="10" borderId="81" xfId="0" applyNumberFormat="1" applyFont="1" applyFill="1" applyBorder="1" applyAlignment="1">
      <alignment vertical="top" wrapText="1"/>
    </xf>
    <xf numFmtId="49" fontId="31" fillId="10" borderId="15" xfId="0" applyNumberFormat="1" applyFont="1" applyFill="1" applyBorder="1" applyAlignment="1">
      <alignment horizontal="center" vertical="top" wrapText="1"/>
    </xf>
    <xf numFmtId="4" fontId="31" fillId="10" borderId="15" xfId="0" applyNumberFormat="1" applyFont="1" applyFill="1" applyBorder="1" applyAlignment="1">
      <alignment vertical="top" wrapText="1"/>
    </xf>
    <xf numFmtId="4" fontId="31" fillId="10" borderId="68" xfId="0" applyNumberFormat="1" applyFont="1" applyFill="1" applyBorder="1" applyAlignment="1">
      <alignment vertical="top" wrapText="1"/>
    </xf>
    <xf numFmtId="49" fontId="31" fillId="10" borderId="78" xfId="0" applyNumberFormat="1" applyFont="1" applyFill="1" applyBorder="1" applyAlignment="1">
      <alignment horizontal="center" vertical="top" wrapText="1"/>
    </xf>
    <xf numFmtId="49" fontId="32" fillId="10" borderId="29" xfId="0" applyNumberFormat="1" applyFont="1" applyFill="1" applyBorder="1" applyAlignment="1">
      <alignment horizontal="center" vertical="top" wrapText="1"/>
    </xf>
    <xf numFmtId="10" fontId="32" fillId="10" borderId="29" xfId="0" applyNumberFormat="1" applyFont="1" applyFill="1" applyBorder="1" applyAlignment="1">
      <alignment vertical="top" wrapText="1"/>
    </xf>
    <xf numFmtId="10" fontId="32" fillId="10" borderId="67" xfId="0" applyNumberFormat="1" applyFont="1" applyFill="1" applyBorder="1" applyAlignment="1">
      <alignment vertical="top" wrapText="1"/>
    </xf>
    <xf numFmtId="49" fontId="32" fillId="10" borderId="79" xfId="0" applyNumberFormat="1" applyFont="1" applyFill="1" applyBorder="1" applyAlignment="1">
      <alignment horizontal="center" vertical="top" wrapText="1"/>
    </xf>
    <xf numFmtId="171" fontId="32" fillId="10" borderId="79" xfId="0" applyNumberFormat="1" applyFont="1" applyFill="1" applyBorder="1" applyAlignment="1">
      <alignment vertical="top" wrapText="1"/>
    </xf>
    <xf numFmtId="171" fontId="32" fillId="10" borderId="82" xfId="0" applyNumberFormat="1" applyFont="1" applyFill="1" applyBorder="1" applyAlignment="1">
      <alignment vertical="top" wrapText="1"/>
    </xf>
    <xf numFmtId="0" fontId="30" fillId="10" borderId="1" xfId="0" applyFont="1" applyFill="1" applyBorder="1" applyAlignment="1">
      <alignment vertical="center"/>
    </xf>
    <xf numFmtId="0" fontId="30" fillId="10" borderId="0" xfId="0" applyFont="1" applyFill="1" applyBorder="1" applyAlignment="1">
      <alignment vertical="center"/>
    </xf>
    <xf numFmtId="0" fontId="30" fillId="10" borderId="0" xfId="0" applyFont="1" applyFill="1" applyBorder="1" applyAlignment="1">
      <alignment vertical="center" wrapText="1"/>
    </xf>
    <xf numFmtId="0" fontId="5" fillId="10" borderId="7" xfId="0" applyFont="1" applyFill="1" applyBorder="1" applyAlignment="1">
      <alignment wrapText="1"/>
    </xf>
    <xf numFmtId="0" fontId="5" fillId="10" borderId="8" xfId="0" applyFont="1" applyFill="1" applyBorder="1" applyAlignment="1">
      <alignment wrapText="1"/>
    </xf>
    <xf numFmtId="0" fontId="5" fillId="10" borderId="80" xfId="0" applyFont="1" applyFill="1" applyBorder="1" applyAlignment="1">
      <alignment wrapText="1"/>
    </xf>
    <xf numFmtId="0" fontId="5" fillId="10" borderId="1" xfId="0" applyFont="1" applyFill="1" applyBorder="1" applyAlignment="1">
      <alignment wrapText="1"/>
    </xf>
    <xf numFmtId="0" fontId="30" fillId="0" borderId="20" xfId="0" applyFont="1" applyBorder="1" applyAlignment="1">
      <alignment vertical="center"/>
    </xf>
    <xf numFmtId="0" fontId="5" fillId="10" borderId="0" xfId="0" applyFont="1" applyFill="1" applyBorder="1" applyAlignment="1">
      <alignment wrapText="1"/>
    </xf>
    <xf numFmtId="0" fontId="5" fillId="10" borderId="1" xfId="0" applyFont="1" applyFill="1" applyBorder="1"/>
    <xf numFmtId="0" fontId="30" fillId="10" borderId="32" xfId="0" applyFont="1" applyFill="1" applyBorder="1"/>
    <xf numFmtId="0" fontId="30" fillId="10" borderId="6" xfId="0" applyFont="1" applyFill="1" applyBorder="1"/>
    <xf numFmtId="0" fontId="30" fillId="10" borderId="6" xfId="0" applyFont="1" applyFill="1" applyBorder="1" applyAlignment="1">
      <alignment wrapText="1"/>
    </xf>
    <xf numFmtId="0" fontId="30" fillId="10" borderId="51" xfId="0" applyFont="1" applyFill="1" applyBorder="1"/>
    <xf numFmtId="4" fontId="13" fillId="0" borderId="0" xfId="5" applyNumberFormat="1" applyFont="1" applyFill="1" applyBorder="1" applyAlignment="1" applyProtection="1">
      <alignment horizontal="right" vertical="center"/>
      <protection locked="0"/>
    </xf>
    <xf numFmtId="4" fontId="13" fillId="0" borderId="0" xfId="5" applyNumberFormat="1" applyFont="1" applyFill="1" applyBorder="1" applyAlignment="1" applyProtection="1">
      <alignment horizontal="right" vertical="center"/>
      <protection locked="0"/>
    </xf>
    <xf numFmtId="4" fontId="13" fillId="0" borderId="0" xfId="5" applyNumberFormat="1" applyFont="1" applyFill="1" applyBorder="1" applyAlignment="1" applyProtection="1">
      <alignment horizontal="right" vertical="center"/>
      <protection locked="0"/>
    </xf>
    <xf numFmtId="4" fontId="13" fillId="0" borderId="0" xfId="5" applyNumberFormat="1" applyFont="1" applyFill="1" applyBorder="1" applyAlignment="1" applyProtection="1">
      <alignment horizontal="right" vertical="center"/>
      <protection locked="0"/>
    </xf>
    <xf numFmtId="4" fontId="13" fillId="0" borderId="0" xfId="5" applyNumberFormat="1" applyFont="1" applyFill="1" applyBorder="1" applyAlignment="1" applyProtection="1">
      <alignment horizontal="right" vertical="center"/>
      <protection locked="0"/>
    </xf>
    <xf numFmtId="4" fontId="13" fillId="0" borderId="0" xfId="5" applyNumberFormat="1" applyFont="1" applyFill="1" applyBorder="1" applyAlignment="1" applyProtection="1">
      <alignment horizontal="right" vertical="center"/>
      <protection locked="0"/>
    </xf>
    <xf numFmtId="4" fontId="7" fillId="0" borderId="0" xfId="5" applyNumberFormat="1" applyFont="1" applyFill="1" applyBorder="1" applyAlignment="1" applyProtection="1">
      <alignment horizontal="right" vertical="center"/>
      <protection locked="0"/>
    </xf>
    <xf numFmtId="49" fontId="27" fillId="8" borderId="23" xfId="0" applyNumberFormat="1" applyFont="1" applyFill="1" applyBorder="1" applyAlignment="1" applyProtection="1">
      <alignment horizontal="center" vertical="center"/>
      <protection locked="0"/>
    </xf>
    <xf numFmtId="49" fontId="27" fillId="8" borderId="30" xfId="0" applyNumberFormat="1" applyFont="1" applyFill="1" applyBorder="1" applyAlignment="1" applyProtection="1">
      <alignment horizontal="center" vertical="center"/>
      <protection locked="0"/>
    </xf>
    <xf numFmtId="0" fontId="29" fillId="8" borderId="23" xfId="0" applyFont="1" applyFill="1" applyBorder="1" applyAlignment="1" applyProtection="1">
      <alignment horizontal="center" vertical="center"/>
      <protection locked="0"/>
    </xf>
    <xf numFmtId="0" fontId="29" fillId="8" borderId="30" xfId="0" applyFont="1" applyFill="1" applyBorder="1" applyAlignment="1" applyProtection="1">
      <alignment horizontal="center" vertical="center"/>
      <protection locked="0"/>
    </xf>
    <xf numFmtId="4" fontId="29" fillId="8" borderId="23" xfId="0" applyNumberFormat="1" applyFont="1" applyFill="1" applyBorder="1" applyAlignment="1" applyProtection="1">
      <alignment horizontal="right" vertical="center"/>
      <protection locked="0"/>
    </xf>
    <xf numFmtId="4" fontId="29" fillId="8" borderId="24" xfId="0" applyNumberFormat="1" applyFont="1" applyFill="1" applyBorder="1" applyAlignment="1" applyProtection="1">
      <alignment horizontal="right" vertical="center"/>
      <protection locked="0"/>
    </xf>
    <xf numFmtId="4" fontId="29" fillId="8" borderId="30" xfId="0" applyNumberFormat="1" applyFont="1" applyFill="1" applyBorder="1" applyAlignment="1" applyProtection="1">
      <alignment horizontal="right" vertical="center"/>
      <protection locked="0"/>
    </xf>
    <xf numFmtId="4" fontId="13" fillId="0" borderId="0" xfId="5" applyNumberFormat="1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0" fillId="6" borderId="16" xfId="0" applyFill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0" fillId="0" borderId="51" xfId="0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4" fontId="13" fillId="0" borderId="0" xfId="5" applyNumberFormat="1" applyFont="1" applyFill="1" applyBorder="1" applyAlignment="1" applyProtection="1">
      <alignment horizontal="right" vertical="center"/>
      <protection locked="0"/>
    </xf>
    <xf numFmtId="4" fontId="13" fillId="0" borderId="0" xfId="5" applyNumberFormat="1" applyFont="1" applyFill="1" applyBorder="1" applyAlignment="1" applyProtection="1">
      <alignment horizontal="right" vertical="center"/>
      <protection locked="0"/>
    </xf>
    <xf numFmtId="0" fontId="14" fillId="7" borderId="33" xfId="0" applyFont="1" applyFill="1" applyBorder="1" applyAlignment="1" applyProtection="1">
      <alignment horizontal="center" vertical="center"/>
      <protection locked="0"/>
    </xf>
    <xf numFmtId="0" fontId="5" fillId="10" borderId="83" xfId="0" applyFont="1" applyFill="1" applyBorder="1" applyAlignment="1">
      <alignment horizontal="center" vertical="center"/>
    </xf>
    <xf numFmtId="0" fontId="0" fillId="0" borderId="59" xfId="0" applyBorder="1"/>
    <xf numFmtId="10" fontId="31" fillId="10" borderId="84" xfId="0" applyNumberFormat="1" applyFont="1" applyFill="1" applyBorder="1" applyAlignment="1">
      <alignment vertical="top" wrapText="1"/>
    </xf>
    <xf numFmtId="4" fontId="31" fillId="10" borderId="23" xfId="0" applyNumberFormat="1" applyFont="1" applyFill="1" applyBorder="1" applyAlignment="1">
      <alignment vertical="top" wrapText="1"/>
    </xf>
    <xf numFmtId="10" fontId="32" fillId="10" borderId="21" xfId="0" applyNumberFormat="1" applyFont="1" applyFill="1" applyBorder="1" applyAlignment="1">
      <alignment vertical="top" wrapText="1"/>
    </xf>
    <xf numFmtId="171" fontId="32" fillId="10" borderId="85" xfId="0" applyNumberFormat="1" applyFont="1" applyFill="1" applyBorder="1" applyAlignment="1">
      <alignment vertical="top" wrapText="1"/>
    </xf>
    <xf numFmtId="0" fontId="30" fillId="10" borderId="86" xfId="0" applyFont="1" applyFill="1" applyBorder="1"/>
    <xf numFmtId="0" fontId="5" fillId="10" borderId="11" xfId="0" applyFont="1" applyFill="1" applyBorder="1"/>
    <xf numFmtId="0" fontId="30" fillId="10" borderId="11" xfId="0" applyFont="1" applyFill="1" applyBorder="1"/>
    <xf numFmtId="0" fontId="30" fillId="10" borderId="50" xfId="0" applyFont="1" applyFill="1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0" fontId="0" fillId="0" borderId="92" xfId="0" applyBorder="1"/>
    <xf numFmtId="0" fontId="0" fillId="0" borderId="93" xfId="0" applyBorder="1"/>
    <xf numFmtId="0" fontId="5" fillId="10" borderId="93" xfId="0" applyFont="1" applyFill="1" applyBorder="1" applyAlignment="1">
      <alignment horizontal="center" vertical="center"/>
    </xf>
    <xf numFmtId="10" fontId="32" fillId="10" borderId="94" xfId="0" applyNumberFormat="1" applyFont="1" applyFill="1" applyBorder="1" applyAlignment="1">
      <alignment vertical="top" wrapText="1"/>
    </xf>
    <xf numFmtId="171" fontId="32" fillId="10" borderId="97" xfId="0" applyNumberFormat="1" applyFont="1" applyFill="1" applyBorder="1" applyAlignment="1">
      <alignment vertical="top" wrapText="1"/>
    </xf>
    <xf numFmtId="4" fontId="32" fillId="10" borderId="95" xfId="0" applyNumberFormat="1" applyFont="1" applyFill="1" applyBorder="1" applyAlignment="1">
      <alignment vertical="top" wrapText="1"/>
    </xf>
    <xf numFmtId="10" fontId="32" fillId="10" borderId="96" xfId="0" applyNumberFormat="1" applyFont="1" applyFill="1" applyBorder="1" applyAlignment="1">
      <alignment vertical="top" wrapText="1"/>
    </xf>
    <xf numFmtId="0" fontId="5" fillId="10" borderId="87" xfId="0" applyFont="1" applyFill="1" applyBorder="1" applyAlignment="1">
      <alignment vertical="center"/>
    </xf>
    <xf numFmtId="4" fontId="13" fillId="0" borderId="0" xfId="5" applyNumberFormat="1" applyFont="1" applyFill="1" applyBorder="1" applyAlignment="1" applyProtection="1">
      <alignment horizontal="right" vertical="center"/>
      <protection locked="0"/>
    </xf>
    <xf numFmtId="4" fontId="13" fillId="0" borderId="0" xfId="5" applyNumberFormat="1" applyFont="1" applyFill="1" applyBorder="1" applyAlignment="1" applyProtection="1">
      <alignment horizontal="right" vertical="center"/>
      <protection locked="0"/>
    </xf>
    <xf numFmtId="4" fontId="13" fillId="0" borderId="0" xfId="5" applyNumberFormat="1" applyFont="1" applyFill="1" applyBorder="1" applyAlignment="1" applyProtection="1">
      <alignment horizontal="right" vertical="center"/>
      <protection locked="0"/>
    </xf>
    <xf numFmtId="4" fontId="7" fillId="0" borderId="0" xfId="5" applyNumberFormat="1" applyFont="1" applyFill="1" applyBorder="1" applyAlignment="1" applyProtection="1">
      <alignment horizontal="right" vertical="center"/>
      <protection locked="0"/>
    </xf>
    <xf numFmtId="0" fontId="27" fillId="0" borderId="23" xfId="0" applyNumberFormat="1" applyFont="1" applyFill="1" applyBorder="1" applyAlignment="1" applyProtection="1">
      <alignment horizontal="center" vertical="center"/>
      <protection locked="0"/>
    </xf>
    <xf numFmtId="0" fontId="27" fillId="0" borderId="30" xfId="0" applyNumberFormat="1" applyFont="1" applyFill="1" applyBorder="1" applyAlignment="1" applyProtection="1">
      <alignment horizontal="center" vertical="center"/>
      <protection locked="0"/>
    </xf>
    <xf numFmtId="49" fontId="27" fillId="8" borderId="23" xfId="0" applyNumberFormat="1" applyFont="1" applyFill="1" applyBorder="1" applyAlignment="1" applyProtection="1">
      <alignment horizontal="center" vertical="center"/>
      <protection locked="0"/>
    </xf>
    <xf numFmtId="49" fontId="27" fillId="8" borderId="30" xfId="0" applyNumberFormat="1" applyFont="1" applyFill="1" applyBorder="1" applyAlignment="1" applyProtection="1">
      <alignment horizontal="center" vertical="center"/>
      <protection locked="0"/>
    </xf>
    <xf numFmtId="0" fontId="1" fillId="8" borderId="23" xfId="0" applyFont="1" applyFill="1" applyBorder="1" applyAlignment="1" applyProtection="1">
      <alignment horizontal="left" vertical="center" wrapText="1"/>
      <protection locked="0"/>
    </xf>
    <xf numFmtId="0" fontId="1" fillId="8" borderId="24" xfId="0" applyFont="1" applyFill="1" applyBorder="1" applyAlignment="1" applyProtection="1">
      <alignment horizontal="left" vertical="center" wrapText="1"/>
      <protection locked="0"/>
    </xf>
    <xf numFmtId="0" fontId="1" fillId="8" borderId="30" xfId="0" applyFont="1" applyFill="1" applyBorder="1" applyAlignment="1" applyProtection="1">
      <alignment horizontal="left" vertical="center" wrapText="1"/>
      <protection locked="0"/>
    </xf>
    <xf numFmtId="0" fontId="29" fillId="8" borderId="23" xfId="0" applyFont="1" applyFill="1" applyBorder="1" applyAlignment="1" applyProtection="1">
      <alignment horizontal="center" vertical="center"/>
      <protection locked="0"/>
    </xf>
    <xf numFmtId="0" fontId="29" fillId="8" borderId="30" xfId="0" applyFont="1" applyFill="1" applyBorder="1" applyAlignment="1" applyProtection="1">
      <alignment horizontal="center" vertical="center"/>
      <protection locked="0"/>
    </xf>
    <xf numFmtId="4" fontId="29" fillId="8" borderId="23" xfId="0" applyNumberFormat="1" applyFont="1" applyFill="1" applyBorder="1" applyAlignment="1" applyProtection="1">
      <alignment horizontal="right" vertical="center"/>
      <protection locked="0"/>
    </xf>
    <xf numFmtId="4" fontId="29" fillId="8" borderId="24" xfId="0" applyNumberFormat="1" applyFont="1" applyFill="1" applyBorder="1" applyAlignment="1" applyProtection="1">
      <alignment horizontal="right" vertical="center"/>
      <protection locked="0"/>
    </xf>
    <xf numFmtId="4" fontId="29" fillId="8" borderId="30" xfId="0" applyNumberFormat="1" applyFont="1" applyFill="1" applyBorder="1" applyAlignment="1" applyProtection="1">
      <alignment horizontal="right" vertical="center"/>
      <protection locked="0"/>
    </xf>
    <xf numFmtId="4" fontId="33" fillId="0" borderId="23" xfId="5" applyNumberFormat="1" applyFont="1" applyFill="1" applyBorder="1" applyAlignment="1" applyProtection="1">
      <alignment horizontal="right" vertical="center" wrapText="1"/>
      <protection locked="0"/>
    </xf>
    <xf numFmtId="4" fontId="33" fillId="0" borderId="24" xfId="5" applyNumberFormat="1" applyFont="1" applyFill="1" applyBorder="1" applyAlignment="1" applyProtection="1">
      <alignment horizontal="right" vertical="center"/>
      <protection locked="0"/>
    </xf>
    <xf numFmtId="4" fontId="29" fillId="0" borderId="34" xfId="5" applyNumberFormat="1" applyFont="1" applyFill="1" applyBorder="1" applyAlignment="1" applyProtection="1">
      <alignment horizontal="right" vertical="center"/>
    </xf>
    <xf numFmtId="4" fontId="29" fillId="0" borderId="35" xfId="5" applyNumberFormat="1" applyFont="1" applyFill="1" applyBorder="1" applyAlignment="1" applyProtection="1">
      <alignment horizontal="right" vertical="center"/>
    </xf>
    <xf numFmtId="4" fontId="29" fillId="0" borderId="37" xfId="5" applyNumberFormat="1" applyFont="1" applyFill="1" applyBorder="1" applyAlignment="1" applyProtection="1">
      <alignment horizontal="right" vertical="center"/>
    </xf>
    <xf numFmtId="4" fontId="29" fillId="5" borderId="33" xfId="5" applyNumberFormat="1" applyFont="1" applyFill="1" applyBorder="1" applyAlignment="1" applyProtection="1">
      <alignment horizontal="right" vertical="center"/>
    </xf>
    <xf numFmtId="4" fontId="29" fillId="5" borderId="15" xfId="5" applyNumberFormat="1" applyFont="1" applyFill="1" applyBorder="1" applyAlignment="1" applyProtection="1">
      <alignment horizontal="right" vertical="center"/>
    </xf>
    <xf numFmtId="4" fontId="29" fillId="5" borderId="68" xfId="5" applyNumberFormat="1" applyFont="1" applyFill="1" applyBorder="1" applyAlignment="1" applyProtection="1">
      <alignment horizontal="right" vertical="center"/>
    </xf>
    <xf numFmtId="0" fontId="27" fillId="8" borderId="23" xfId="0" applyNumberFormat="1" applyFont="1" applyFill="1" applyBorder="1" applyAlignment="1" applyProtection="1">
      <alignment horizontal="center" vertical="center"/>
      <protection locked="0"/>
    </xf>
    <xf numFmtId="0" fontId="27" fillId="8" borderId="30" xfId="0" applyNumberFormat="1" applyFont="1" applyFill="1" applyBorder="1" applyAlignment="1" applyProtection="1">
      <alignment horizontal="center" vertical="center"/>
      <protection locked="0"/>
    </xf>
    <xf numFmtId="4" fontId="29" fillId="8" borderId="23" xfId="2" applyNumberFormat="1" applyFont="1" applyFill="1" applyBorder="1" applyAlignment="1" applyProtection="1">
      <alignment horizontal="right" vertical="center"/>
      <protection locked="0"/>
    </xf>
    <xf numFmtId="4" fontId="29" fillId="8" borderId="24" xfId="2" applyNumberFormat="1" applyFont="1" applyFill="1" applyBorder="1" applyAlignment="1" applyProtection="1">
      <alignment horizontal="right" vertical="center"/>
      <protection locked="0"/>
    </xf>
    <xf numFmtId="4" fontId="29" fillId="8" borderId="30" xfId="2" applyNumberFormat="1" applyFont="1" applyFill="1" applyBorder="1" applyAlignment="1" applyProtection="1">
      <alignment horizontal="right" vertical="center"/>
      <protection locked="0"/>
    </xf>
    <xf numFmtId="4" fontId="33" fillId="0" borderId="23" xfId="5" applyNumberFormat="1" applyFont="1" applyFill="1" applyBorder="1" applyAlignment="1" applyProtection="1">
      <alignment horizontal="right" vertical="center"/>
      <protection locked="0"/>
    </xf>
    <xf numFmtId="49" fontId="27" fillId="8" borderId="23" xfId="0" quotePrefix="1" applyNumberFormat="1" applyFont="1" applyFill="1" applyBorder="1" applyAlignment="1" applyProtection="1">
      <alignment horizontal="center" vertical="center" wrapText="1"/>
      <protection locked="0"/>
    </xf>
    <xf numFmtId="49" fontId="27" fillId="8" borderId="30" xfId="0" applyNumberFormat="1" applyFont="1" applyFill="1" applyBorder="1" applyAlignment="1" applyProtection="1">
      <alignment horizontal="center" vertical="center" wrapText="1"/>
      <protection locked="0"/>
    </xf>
    <xf numFmtId="4" fontId="29" fillId="8" borderId="23" xfId="0" applyNumberFormat="1" applyFont="1" applyFill="1" applyBorder="1" applyAlignment="1" applyProtection="1">
      <alignment horizontal="right" vertical="center"/>
    </xf>
    <xf numFmtId="4" fontId="29" fillId="8" borderId="24" xfId="0" applyNumberFormat="1" applyFont="1" applyFill="1" applyBorder="1" applyAlignment="1" applyProtection="1">
      <alignment horizontal="right" vertical="center"/>
    </xf>
    <xf numFmtId="4" fontId="29" fillId="8" borderId="30" xfId="0" applyNumberFormat="1" applyFont="1" applyFill="1" applyBorder="1" applyAlignment="1" applyProtection="1">
      <alignment horizontal="right" vertical="center"/>
    </xf>
    <xf numFmtId="4" fontId="33" fillId="0" borderId="30" xfId="5" applyNumberFormat="1" applyFont="1" applyFill="1" applyBorder="1" applyAlignment="1" applyProtection="1">
      <alignment horizontal="right" vertical="center"/>
      <protection locked="0"/>
    </xf>
    <xf numFmtId="4" fontId="29" fillId="0" borderId="23" xfId="5" applyNumberFormat="1" applyFont="1" applyFill="1" applyBorder="1" applyAlignment="1" applyProtection="1">
      <alignment horizontal="right" vertical="center"/>
    </xf>
    <xf numFmtId="4" fontId="29" fillId="0" borderId="24" xfId="5" applyNumberFormat="1" applyFont="1" applyFill="1" applyBorder="1" applyAlignment="1" applyProtection="1">
      <alignment horizontal="right" vertical="center"/>
    </xf>
    <xf numFmtId="4" fontId="29" fillId="0" borderId="69" xfId="5" applyNumberFormat="1" applyFont="1" applyFill="1" applyBorder="1" applyAlignment="1" applyProtection="1">
      <alignment horizontal="right" vertical="center"/>
    </xf>
    <xf numFmtId="4" fontId="29" fillId="5" borderId="63" xfId="5" applyNumberFormat="1" applyFont="1" applyFill="1" applyBorder="1" applyAlignment="1" applyProtection="1">
      <alignment horizontal="right" vertical="center"/>
    </xf>
    <xf numFmtId="4" fontId="29" fillId="5" borderId="24" xfId="5" applyNumberFormat="1" applyFont="1" applyFill="1" applyBorder="1" applyAlignment="1" applyProtection="1">
      <alignment horizontal="right" vertical="center"/>
    </xf>
    <xf numFmtId="4" fontId="29" fillId="5" borderId="30" xfId="5" applyNumberFormat="1" applyFont="1" applyFill="1" applyBorder="1" applyAlignment="1" applyProtection="1">
      <alignment horizontal="right" vertical="center"/>
    </xf>
    <xf numFmtId="4" fontId="29" fillId="5" borderId="23" xfId="5" applyNumberFormat="1" applyFont="1" applyFill="1" applyBorder="1" applyAlignment="1" applyProtection="1">
      <alignment horizontal="right" vertical="center"/>
    </xf>
    <xf numFmtId="4" fontId="29" fillId="5" borderId="69" xfId="5" applyNumberFormat="1" applyFont="1" applyFill="1" applyBorder="1" applyAlignment="1" applyProtection="1">
      <alignment horizontal="right" vertical="center"/>
    </xf>
    <xf numFmtId="0" fontId="1" fillId="6" borderId="0" xfId="0" applyFont="1" applyFill="1" applyBorder="1" applyAlignment="1" applyProtection="1">
      <alignment horizontal="left" wrapText="1"/>
    </xf>
    <xf numFmtId="0" fontId="4" fillId="6" borderId="0" xfId="0" applyFont="1" applyFill="1" applyBorder="1" applyAlignment="1" applyProtection="1">
      <alignment horizontal="left" wrapText="1"/>
    </xf>
    <xf numFmtId="4" fontId="1" fillId="8" borderId="23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23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24" xfId="0" applyNumberFormat="1" applyFont="1" applyFill="1" applyBorder="1" applyAlignment="1" applyProtection="1">
      <alignment horizontal="right" vertical="center"/>
      <protection locked="0"/>
    </xf>
    <xf numFmtId="4" fontId="33" fillId="0" borderId="30" xfId="0" applyNumberFormat="1" applyFont="1" applyFill="1" applyBorder="1" applyAlignment="1" applyProtection="1">
      <alignment horizontal="right" vertical="center"/>
      <protection locked="0"/>
    </xf>
    <xf numFmtId="0" fontId="27" fillId="8" borderId="23" xfId="0" applyFont="1" applyFill="1" applyBorder="1" applyAlignment="1" applyProtection="1">
      <alignment horizontal="center" vertical="center"/>
      <protection locked="0"/>
    </xf>
    <xf numFmtId="0" fontId="27" fillId="8" borderId="30" xfId="0" applyFont="1" applyFill="1" applyBorder="1" applyAlignment="1" applyProtection="1">
      <alignment horizontal="center" vertical="center"/>
      <protection locked="0"/>
    </xf>
    <xf numFmtId="4" fontId="33" fillId="7" borderId="23" xfId="5" applyNumberFormat="1" applyFont="1" applyFill="1" applyBorder="1" applyAlignment="1" applyProtection="1">
      <alignment horizontal="right" vertical="center"/>
      <protection locked="0"/>
    </xf>
    <xf numFmtId="4" fontId="33" fillId="7" borderId="24" xfId="5" applyNumberFormat="1" applyFont="1" applyFill="1" applyBorder="1" applyAlignment="1" applyProtection="1">
      <alignment horizontal="right" vertical="center"/>
      <protection locked="0"/>
    </xf>
    <xf numFmtId="4" fontId="33" fillId="7" borderId="30" xfId="5" applyNumberFormat="1" applyFont="1" applyFill="1" applyBorder="1" applyAlignment="1" applyProtection="1">
      <alignment horizontal="right" vertical="center"/>
      <protection locked="0"/>
    </xf>
    <xf numFmtId="4" fontId="29" fillId="7" borderId="34" xfId="5" applyNumberFormat="1" applyFont="1" applyFill="1" applyBorder="1" applyAlignment="1" applyProtection="1">
      <alignment horizontal="right" vertical="center"/>
    </xf>
    <xf numFmtId="4" fontId="29" fillId="7" borderId="35" xfId="5" applyNumberFormat="1" applyFont="1" applyFill="1" applyBorder="1" applyAlignment="1" applyProtection="1">
      <alignment horizontal="right" vertical="center"/>
    </xf>
    <xf numFmtId="4" fontId="29" fillId="7" borderId="37" xfId="5" applyNumberFormat="1" applyFont="1" applyFill="1" applyBorder="1" applyAlignment="1" applyProtection="1">
      <alignment horizontal="right" vertical="center"/>
    </xf>
    <xf numFmtId="0" fontId="15" fillId="8" borderId="23" xfId="0" applyFont="1" applyFill="1" applyBorder="1" applyAlignment="1" applyProtection="1">
      <alignment horizontal="left" vertical="center" wrapText="1"/>
      <protection locked="0"/>
    </xf>
    <xf numFmtId="0" fontId="15" fillId="8" borderId="24" xfId="0" applyFont="1" applyFill="1" applyBorder="1" applyAlignment="1" applyProtection="1">
      <alignment horizontal="left" vertical="center" wrapText="1"/>
      <protection locked="0"/>
    </xf>
    <xf numFmtId="0" fontId="15" fillId="8" borderId="30" xfId="0" applyFont="1" applyFill="1" applyBorder="1" applyAlignment="1" applyProtection="1">
      <alignment horizontal="left" vertical="center" wrapText="1"/>
      <protection locked="0"/>
    </xf>
    <xf numFmtId="4" fontId="33" fillId="6" borderId="23" xfId="5" applyNumberFormat="1" applyFont="1" applyFill="1" applyBorder="1" applyAlignment="1" applyProtection="1">
      <alignment horizontal="right" vertical="center"/>
      <protection locked="0"/>
    </xf>
    <xf numFmtId="4" fontId="33" fillId="6" borderId="24" xfId="5" applyNumberFormat="1" applyFont="1" applyFill="1" applyBorder="1" applyAlignment="1" applyProtection="1">
      <alignment horizontal="right" vertical="center"/>
      <protection locked="0"/>
    </xf>
    <xf numFmtId="0" fontId="27" fillId="7" borderId="23" xfId="0" applyNumberFormat="1" applyFont="1" applyFill="1" applyBorder="1" applyAlignment="1" applyProtection="1">
      <alignment horizontal="center" vertical="center"/>
      <protection locked="0"/>
    </xf>
    <xf numFmtId="0" fontId="27" fillId="7" borderId="30" xfId="0" applyNumberFormat="1" applyFont="1" applyFill="1" applyBorder="1" applyAlignment="1" applyProtection="1">
      <alignment horizontal="center" vertical="center"/>
      <protection locked="0"/>
    </xf>
    <xf numFmtId="49" fontId="27" fillId="7" borderId="23" xfId="0" applyNumberFormat="1" applyFont="1" applyFill="1" applyBorder="1" applyAlignment="1" applyProtection="1">
      <alignment horizontal="center" vertical="center"/>
      <protection locked="0"/>
    </xf>
    <xf numFmtId="49" fontId="27" fillId="7" borderId="30" xfId="0" applyNumberFormat="1" applyFont="1" applyFill="1" applyBorder="1" applyAlignment="1" applyProtection="1">
      <alignment horizontal="center" vertical="center"/>
      <protection locked="0"/>
    </xf>
    <xf numFmtId="0" fontId="2" fillId="7" borderId="23" xfId="0" applyFont="1" applyFill="1" applyBorder="1" applyAlignment="1" applyProtection="1">
      <alignment horizontal="left" vertical="center" wrapText="1"/>
      <protection locked="0"/>
    </xf>
    <xf numFmtId="0" fontId="2" fillId="7" borderId="24" xfId="0" applyFont="1" applyFill="1" applyBorder="1" applyAlignment="1" applyProtection="1">
      <alignment horizontal="left" vertical="center" wrapText="1"/>
      <protection locked="0"/>
    </xf>
    <xf numFmtId="0" fontId="2" fillId="7" borderId="30" xfId="0" applyFont="1" applyFill="1" applyBorder="1" applyAlignment="1" applyProtection="1">
      <alignment horizontal="left" vertical="center" wrapText="1"/>
      <protection locked="0"/>
    </xf>
    <xf numFmtId="0" fontId="29" fillId="7" borderId="23" xfId="0" applyFont="1" applyFill="1" applyBorder="1" applyAlignment="1" applyProtection="1">
      <alignment horizontal="center" vertical="center"/>
      <protection locked="0"/>
    </xf>
    <xf numFmtId="0" fontId="29" fillId="7" borderId="30" xfId="0" applyFont="1" applyFill="1" applyBorder="1" applyAlignment="1" applyProtection="1">
      <alignment horizontal="center" vertical="center"/>
      <protection locked="0"/>
    </xf>
    <xf numFmtId="0" fontId="2" fillId="8" borderId="23" xfId="0" applyFont="1" applyFill="1" applyBorder="1" applyAlignment="1" applyProtection="1">
      <alignment horizontal="right" vertical="center" wrapText="1"/>
      <protection locked="0"/>
    </xf>
    <xf numFmtId="0" fontId="2" fillId="8" borderId="24" xfId="0" applyFont="1" applyFill="1" applyBorder="1" applyAlignment="1" applyProtection="1">
      <alignment horizontal="right" vertical="center" wrapText="1"/>
      <protection locked="0"/>
    </xf>
    <xf numFmtId="0" fontId="2" fillId="8" borderId="30" xfId="0" applyFont="1" applyFill="1" applyBorder="1" applyAlignment="1" applyProtection="1">
      <alignment horizontal="right" vertical="center" wrapText="1"/>
      <protection locked="0"/>
    </xf>
    <xf numFmtId="0" fontId="27" fillId="6" borderId="23" xfId="0" applyNumberFormat="1" applyFont="1" applyFill="1" applyBorder="1" applyAlignment="1" applyProtection="1">
      <alignment horizontal="center" vertical="center"/>
      <protection locked="0"/>
    </xf>
    <xf numFmtId="0" fontId="27" fillId="6" borderId="30" xfId="0" applyNumberFormat="1" applyFont="1" applyFill="1" applyBorder="1" applyAlignment="1" applyProtection="1">
      <alignment horizontal="center" vertical="center"/>
      <protection locked="0"/>
    </xf>
    <xf numFmtId="4" fontId="13" fillId="0" borderId="0" xfId="5" applyNumberFormat="1" applyFont="1" applyFill="1" applyBorder="1" applyAlignment="1" applyProtection="1">
      <alignment horizontal="right" vertical="center"/>
      <protection locked="0"/>
    </xf>
    <xf numFmtId="4" fontId="14" fillId="5" borderId="23" xfId="5" applyNumberFormat="1" applyFont="1" applyFill="1" applyBorder="1" applyAlignment="1" applyProtection="1">
      <alignment horizontal="right" vertical="center"/>
    </xf>
    <xf numFmtId="4" fontId="14" fillId="5" borderId="24" xfId="5" applyNumberFormat="1" applyFont="1" applyFill="1" applyBorder="1" applyAlignment="1" applyProtection="1">
      <alignment horizontal="right" vertical="center"/>
    </xf>
    <xf numFmtId="4" fontId="14" fillId="5" borderId="69" xfId="5" applyNumberFormat="1" applyFont="1" applyFill="1" applyBorder="1" applyAlignment="1" applyProtection="1">
      <alignment horizontal="right" vertical="center"/>
    </xf>
    <xf numFmtId="4" fontId="33" fillId="0" borderId="15" xfId="5" applyNumberFormat="1" applyFont="1" applyFill="1" applyBorder="1" applyAlignment="1" applyProtection="1">
      <alignment horizontal="right" vertical="center"/>
      <protection locked="0"/>
    </xf>
    <xf numFmtId="4" fontId="14" fillId="0" borderId="34" xfId="5" applyNumberFormat="1" applyFont="1" applyFill="1" applyBorder="1" applyAlignment="1" applyProtection="1">
      <alignment horizontal="right" vertical="center"/>
    </xf>
    <xf numFmtId="4" fontId="14" fillId="0" borderId="35" xfId="5" applyNumberFormat="1" applyFont="1" applyFill="1" applyBorder="1" applyAlignment="1" applyProtection="1">
      <alignment horizontal="right" vertical="center"/>
    </xf>
    <xf numFmtId="4" fontId="14" fillId="0" borderId="37" xfId="5" applyNumberFormat="1" applyFont="1" applyFill="1" applyBorder="1" applyAlignment="1" applyProtection="1">
      <alignment horizontal="right" vertical="center"/>
    </xf>
    <xf numFmtId="4" fontId="29" fillId="7" borderId="33" xfId="5" applyNumberFormat="1" applyFont="1" applyFill="1" applyBorder="1" applyAlignment="1" applyProtection="1">
      <alignment horizontal="right" vertical="center"/>
    </xf>
    <xf numFmtId="4" fontId="29" fillId="7" borderId="15" xfId="5" applyNumberFormat="1" applyFont="1" applyFill="1" applyBorder="1" applyAlignment="1" applyProtection="1">
      <alignment horizontal="right" vertical="center"/>
    </xf>
    <xf numFmtId="4" fontId="29" fillId="7" borderId="68" xfId="5" applyNumberFormat="1" applyFont="1" applyFill="1" applyBorder="1" applyAlignment="1" applyProtection="1">
      <alignment horizontal="right" vertical="center"/>
    </xf>
    <xf numFmtId="49" fontId="27" fillId="8" borderId="23" xfId="0" applyNumberFormat="1" applyFont="1" applyFill="1" applyBorder="1" applyAlignment="1" applyProtection="1">
      <alignment horizontal="center" vertical="center" wrapText="1"/>
      <protection locked="0"/>
    </xf>
    <xf numFmtId="4" fontId="33" fillId="6" borderId="34" xfId="5" applyNumberFormat="1" applyFont="1" applyFill="1" applyBorder="1" applyAlignment="1" applyProtection="1">
      <alignment horizontal="right" vertical="center"/>
      <protection locked="0"/>
    </xf>
    <xf numFmtId="4" fontId="33" fillId="6" borderId="35" xfId="5" applyNumberFormat="1" applyFont="1" applyFill="1" applyBorder="1" applyAlignment="1" applyProtection="1">
      <alignment horizontal="right" vertical="center"/>
      <protection locked="0"/>
    </xf>
    <xf numFmtId="4" fontId="33" fillId="6" borderId="36" xfId="5" applyNumberFormat="1" applyFont="1" applyFill="1" applyBorder="1" applyAlignment="1" applyProtection="1">
      <alignment horizontal="right" vertical="center"/>
      <protection locked="0"/>
    </xf>
    <xf numFmtId="4" fontId="29" fillId="7" borderId="23" xfId="0" applyNumberFormat="1" applyFont="1" applyFill="1" applyBorder="1" applyAlignment="1" applyProtection="1">
      <alignment horizontal="right" vertical="center"/>
      <protection locked="0"/>
    </xf>
    <xf numFmtId="4" fontId="29" fillId="7" borderId="24" xfId="0" applyNumberFormat="1" applyFont="1" applyFill="1" applyBorder="1" applyAlignment="1" applyProtection="1">
      <alignment horizontal="right" vertical="center"/>
      <protection locked="0"/>
    </xf>
    <xf numFmtId="4" fontId="29" fillId="7" borderId="30" xfId="0" applyNumberFormat="1" applyFont="1" applyFill="1" applyBorder="1" applyAlignment="1" applyProtection="1">
      <alignment horizontal="right" vertical="center"/>
      <protection locked="0"/>
    </xf>
    <xf numFmtId="4" fontId="33" fillId="7" borderId="34" xfId="5" applyNumberFormat="1" applyFont="1" applyFill="1" applyBorder="1" applyAlignment="1" applyProtection="1">
      <alignment horizontal="right" vertical="center"/>
      <protection locked="0"/>
    </xf>
    <xf numFmtId="4" fontId="33" fillId="7" borderId="35" xfId="5" applyNumberFormat="1" applyFont="1" applyFill="1" applyBorder="1" applyAlignment="1" applyProtection="1">
      <alignment horizontal="right" vertical="center"/>
      <protection locked="0"/>
    </xf>
    <xf numFmtId="4" fontId="33" fillId="7" borderId="36" xfId="5" applyNumberFormat="1" applyFont="1" applyFill="1" applyBorder="1" applyAlignment="1" applyProtection="1">
      <alignment horizontal="right" vertical="center"/>
      <protection locked="0"/>
    </xf>
    <xf numFmtId="0" fontId="11" fillId="8" borderId="23" xfId="0" applyNumberFormat="1" applyFont="1" applyFill="1" applyBorder="1" applyAlignment="1" applyProtection="1">
      <alignment horizontal="center" vertical="center"/>
      <protection locked="0"/>
    </xf>
    <xf numFmtId="0" fontId="11" fillId="8" borderId="30" xfId="0" applyNumberFormat="1" applyFont="1" applyFill="1" applyBorder="1" applyAlignment="1" applyProtection="1">
      <alignment horizontal="center" vertical="center"/>
      <protection locked="0"/>
    </xf>
    <xf numFmtId="49" fontId="11" fillId="8" borderId="23" xfId="0" applyNumberFormat="1" applyFont="1" applyFill="1" applyBorder="1" applyAlignment="1" applyProtection="1">
      <alignment horizontal="center" vertical="center"/>
      <protection locked="0"/>
    </xf>
    <xf numFmtId="49" fontId="11" fillId="8" borderId="30" xfId="0" applyNumberFormat="1" applyFont="1" applyFill="1" applyBorder="1" applyAlignment="1" applyProtection="1">
      <alignment horizontal="center" vertical="center"/>
      <protection locked="0"/>
    </xf>
    <xf numFmtId="0" fontId="8" fillId="8" borderId="23" xfId="0" applyFont="1" applyFill="1" applyBorder="1" applyAlignment="1" applyProtection="1">
      <alignment horizontal="right" vertical="center" wrapText="1"/>
      <protection locked="0"/>
    </xf>
    <xf numFmtId="0" fontId="8" fillId="8" borderId="24" xfId="0" applyFont="1" applyFill="1" applyBorder="1" applyAlignment="1" applyProtection="1">
      <alignment horizontal="right" vertical="center" wrapText="1"/>
      <protection locked="0"/>
    </xf>
    <xf numFmtId="0" fontId="8" fillId="8" borderId="30" xfId="0" applyFont="1" applyFill="1" applyBorder="1" applyAlignment="1" applyProtection="1">
      <alignment horizontal="right" vertical="center" wrapText="1"/>
      <protection locked="0"/>
    </xf>
    <xf numFmtId="165" fontId="14" fillId="3" borderId="14" xfId="5" applyFont="1" applyFill="1" applyBorder="1" applyAlignment="1" applyProtection="1">
      <alignment horizontal="right" vertical="center"/>
    </xf>
    <xf numFmtId="165" fontId="14" fillId="3" borderId="17" xfId="5" applyFont="1" applyFill="1" applyBorder="1" applyAlignment="1" applyProtection="1">
      <alignment horizontal="right" vertical="center"/>
    </xf>
    <xf numFmtId="165" fontId="14" fillId="3" borderId="59" xfId="5" applyFont="1" applyFill="1" applyBorder="1" applyAlignment="1" applyProtection="1">
      <alignment horizontal="right" vertical="center"/>
    </xf>
    <xf numFmtId="165" fontId="14" fillId="3" borderId="70" xfId="5" applyFont="1" applyFill="1" applyBorder="1" applyAlignment="1" applyProtection="1">
      <alignment horizontal="right" vertical="center"/>
    </xf>
    <xf numFmtId="165" fontId="14" fillId="3" borderId="27" xfId="5" applyFont="1" applyFill="1" applyBorder="1" applyAlignment="1" applyProtection="1">
      <alignment horizontal="right" vertical="center"/>
    </xf>
    <xf numFmtId="49" fontId="11" fillId="7" borderId="21" xfId="0" applyNumberFormat="1" applyFont="1" applyFill="1" applyBorder="1" applyAlignment="1" applyProtection="1">
      <alignment horizontal="center" vertical="center"/>
      <protection locked="0"/>
    </xf>
    <xf numFmtId="49" fontId="11" fillId="7" borderId="42" xfId="0" applyNumberFormat="1" applyFont="1" applyFill="1" applyBorder="1" applyAlignment="1" applyProtection="1">
      <alignment horizontal="center" vertical="center"/>
      <protection locked="0"/>
    </xf>
    <xf numFmtId="4" fontId="8" fillId="7" borderId="21" xfId="0" applyNumberFormat="1" applyFont="1" applyFill="1" applyBorder="1" applyAlignment="1" applyProtection="1">
      <alignment horizontal="left" vertical="center" wrapText="1"/>
      <protection locked="0"/>
    </xf>
    <xf numFmtId="0" fontId="8" fillId="7" borderId="22" xfId="0" applyFont="1" applyFill="1" applyBorder="1" applyAlignment="1" applyProtection="1">
      <alignment horizontal="left" vertical="center" wrapText="1"/>
      <protection locked="0"/>
    </xf>
    <xf numFmtId="0" fontId="8" fillId="7" borderId="42" xfId="0" applyFont="1" applyFill="1" applyBorder="1" applyAlignment="1" applyProtection="1">
      <alignment horizontal="left" vertical="center" wrapText="1"/>
      <protection locked="0"/>
    </xf>
    <xf numFmtId="0" fontId="29" fillId="7" borderId="21" xfId="0" applyFont="1" applyFill="1" applyBorder="1" applyAlignment="1" applyProtection="1">
      <alignment horizontal="center" vertical="center"/>
      <protection locked="0"/>
    </xf>
    <xf numFmtId="0" fontId="29" fillId="7" borderId="42" xfId="0" applyFont="1" applyFill="1" applyBorder="1" applyAlignment="1" applyProtection="1">
      <alignment horizontal="center" vertical="center"/>
      <protection locked="0"/>
    </xf>
    <xf numFmtId="4" fontId="33" fillId="7" borderId="38" xfId="5" applyNumberFormat="1" applyFont="1" applyFill="1" applyBorder="1" applyAlignment="1" applyProtection="1">
      <alignment horizontal="right" vertical="center"/>
      <protection locked="0"/>
    </xf>
    <xf numFmtId="4" fontId="33" fillId="7" borderId="39" xfId="5" applyNumberFormat="1" applyFont="1" applyFill="1" applyBorder="1" applyAlignment="1" applyProtection="1">
      <alignment horizontal="right" vertical="center"/>
      <protection locked="0"/>
    </xf>
    <xf numFmtId="4" fontId="33" fillId="7" borderId="43" xfId="5" applyNumberFormat="1" applyFont="1" applyFill="1" applyBorder="1" applyAlignment="1" applyProtection="1">
      <alignment horizontal="right" vertical="center"/>
      <protection locked="0"/>
    </xf>
    <xf numFmtId="4" fontId="29" fillId="7" borderId="38" xfId="5" applyNumberFormat="1" applyFont="1" applyFill="1" applyBorder="1" applyAlignment="1" applyProtection="1">
      <alignment horizontal="right" vertical="center"/>
    </xf>
    <xf numFmtId="4" fontId="29" fillId="7" borderId="39" xfId="5" applyNumberFormat="1" applyFont="1" applyFill="1" applyBorder="1" applyAlignment="1" applyProtection="1">
      <alignment horizontal="right" vertical="center"/>
    </xf>
    <xf numFmtId="4" fontId="29" fillId="7" borderId="40" xfId="5" applyNumberFormat="1" applyFont="1" applyFill="1" applyBorder="1" applyAlignment="1" applyProtection="1">
      <alignment horizontal="right" vertical="center"/>
    </xf>
    <xf numFmtId="4" fontId="33" fillId="0" borderId="23" xfId="5" applyNumberFormat="1" applyFont="1" applyFill="1" applyBorder="1" applyAlignment="1" applyProtection="1">
      <alignment horizontal="center" vertical="center"/>
      <protection locked="0"/>
    </xf>
    <xf numFmtId="4" fontId="33" fillId="0" borderId="24" xfId="5" applyNumberFormat="1" applyFont="1" applyFill="1" applyBorder="1" applyAlignment="1" applyProtection="1">
      <alignment horizontal="center" vertical="center"/>
      <protection locked="0"/>
    </xf>
    <xf numFmtId="4" fontId="29" fillId="7" borderId="41" xfId="5" applyNumberFormat="1" applyFont="1" applyFill="1" applyBorder="1" applyAlignment="1" applyProtection="1">
      <alignment horizontal="right" vertical="center"/>
    </xf>
    <xf numFmtId="4" fontId="29" fillId="7" borderId="29" xfId="5" applyNumberFormat="1" applyFont="1" applyFill="1" applyBorder="1" applyAlignment="1" applyProtection="1">
      <alignment horizontal="right" vertical="center"/>
    </xf>
    <xf numFmtId="4" fontId="29" fillId="7" borderId="67" xfId="5" applyNumberFormat="1" applyFont="1" applyFill="1" applyBorder="1" applyAlignment="1" applyProtection="1">
      <alignment horizontal="right" vertical="center"/>
    </xf>
    <xf numFmtId="4" fontId="7" fillId="8" borderId="23" xfId="0" applyNumberFormat="1" applyFont="1" applyFill="1" applyBorder="1" applyAlignment="1" applyProtection="1">
      <alignment horizontal="left" vertical="center" wrapText="1"/>
      <protection locked="0"/>
    </xf>
    <xf numFmtId="0" fontId="7" fillId="8" borderId="24" xfId="0" applyFont="1" applyFill="1" applyBorder="1" applyAlignment="1" applyProtection="1">
      <alignment horizontal="left" vertical="center" wrapText="1"/>
      <protection locked="0"/>
    </xf>
    <xf numFmtId="0" fontId="7" fillId="8" borderId="30" xfId="0" applyFont="1" applyFill="1" applyBorder="1" applyAlignment="1" applyProtection="1">
      <alignment horizontal="left" vertical="center" wrapText="1"/>
      <protection locked="0"/>
    </xf>
    <xf numFmtId="0" fontId="3" fillId="6" borderId="1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horizontal="center" vertical="center"/>
    </xf>
    <xf numFmtId="0" fontId="3" fillId="6" borderId="5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right" vertical="center"/>
    </xf>
    <xf numFmtId="0" fontId="9" fillId="2" borderId="5" xfId="0" applyFont="1" applyFill="1" applyBorder="1" applyAlignment="1" applyProtection="1">
      <alignment horizontal="right" vertical="center"/>
    </xf>
    <xf numFmtId="0" fontId="17" fillId="4" borderId="44" xfId="0" applyFont="1" applyFill="1" applyBorder="1" applyAlignment="1" applyProtection="1">
      <alignment horizontal="left" vertical="center"/>
      <protection locked="0"/>
    </xf>
    <xf numFmtId="0" fontId="17" fillId="4" borderId="20" xfId="0" applyFont="1" applyFill="1" applyBorder="1" applyAlignment="1" applyProtection="1">
      <alignment horizontal="left" vertical="center"/>
      <protection locked="0"/>
    </xf>
    <xf numFmtId="0" fontId="17" fillId="4" borderId="28" xfId="0" applyFont="1" applyFill="1" applyBorder="1" applyAlignment="1" applyProtection="1">
      <alignment horizontal="left" vertical="center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3" fillId="4" borderId="20" xfId="0" applyFont="1" applyFill="1" applyBorder="1" applyAlignment="1" applyProtection="1">
      <alignment horizontal="center" vertical="center"/>
      <protection locked="0"/>
    </xf>
    <xf numFmtId="0" fontId="3" fillId="4" borderId="60" xfId="0" applyFont="1" applyFill="1" applyBorder="1" applyAlignment="1" applyProtection="1">
      <alignment horizontal="center" vertical="center"/>
      <protection locked="0"/>
    </xf>
    <xf numFmtId="0" fontId="17" fillId="4" borderId="44" xfId="0" applyFont="1" applyFill="1" applyBorder="1" applyAlignment="1" applyProtection="1">
      <alignment horizontal="left" vertical="center" wrapText="1"/>
      <protection locked="0"/>
    </xf>
    <xf numFmtId="0" fontId="17" fillId="4" borderId="20" xfId="0" applyFont="1" applyFill="1" applyBorder="1" applyAlignment="1" applyProtection="1">
      <alignment horizontal="left" vertical="center" wrapText="1"/>
      <protection locked="0"/>
    </xf>
    <xf numFmtId="0" fontId="17" fillId="4" borderId="28" xfId="0" applyFont="1" applyFill="1" applyBorder="1" applyAlignment="1" applyProtection="1">
      <alignment horizontal="left" vertical="center" wrapText="1"/>
      <protection locked="0"/>
    </xf>
    <xf numFmtId="0" fontId="17" fillId="4" borderId="19" xfId="0" applyFont="1" applyFill="1" applyBorder="1" applyAlignment="1" applyProtection="1">
      <alignment horizontal="left" vertical="center"/>
      <protection locked="0"/>
    </xf>
    <xf numFmtId="0" fontId="17" fillId="4" borderId="19" xfId="0" applyFont="1" applyFill="1" applyBorder="1" applyAlignment="1" applyProtection="1">
      <alignment horizontal="center" vertical="center"/>
      <protection locked="0"/>
    </xf>
    <xf numFmtId="0" fontId="17" fillId="4" borderId="60" xfId="0" applyFont="1" applyFill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left" vertical="center" wrapText="1"/>
    </xf>
    <xf numFmtId="0" fontId="15" fillId="0" borderId="61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5" xfId="0" applyFont="1" applyBorder="1" applyAlignment="1" applyProtection="1">
      <alignment horizontal="left" vertical="center" wrapText="1"/>
    </xf>
    <xf numFmtId="0" fontId="15" fillId="0" borderId="20" xfId="0" applyFont="1" applyBorder="1" applyAlignment="1" applyProtection="1">
      <alignment horizontal="left" vertical="center" wrapText="1"/>
    </xf>
    <xf numFmtId="0" fontId="15" fillId="0" borderId="60" xfId="0" applyFont="1" applyBorder="1" applyAlignment="1" applyProtection="1">
      <alignment horizontal="left" vertical="center" wrapText="1"/>
    </xf>
    <xf numFmtId="10" fontId="7" fillId="6" borderId="24" xfId="0" applyNumberFormat="1" applyFont="1" applyFill="1" applyBorder="1" applyAlignment="1" applyProtection="1">
      <alignment horizontal="center" vertical="center"/>
    </xf>
    <xf numFmtId="10" fontId="7" fillId="6" borderId="30" xfId="0" applyNumberFormat="1" applyFont="1" applyFill="1" applyBorder="1" applyAlignment="1" applyProtection="1">
      <alignment horizontal="center" vertical="center"/>
    </xf>
    <xf numFmtId="10" fontId="7" fillId="4" borderId="24" xfId="3" applyNumberFormat="1" applyFont="1" applyFill="1" applyBorder="1" applyAlignment="1" applyProtection="1">
      <alignment horizontal="right" vertical="center"/>
      <protection locked="0"/>
    </xf>
    <xf numFmtId="10" fontId="7" fillId="4" borderId="30" xfId="3" applyNumberFormat="1" applyFont="1" applyFill="1" applyBorder="1" applyAlignment="1" applyProtection="1">
      <alignment horizontal="right" vertical="center"/>
      <protection locked="0"/>
    </xf>
    <xf numFmtId="10" fontId="7" fillId="6" borderId="22" xfId="0" applyNumberFormat="1" applyFont="1" applyFill="1" applyBorder="1" applyAlignment="1" applyProtection="1">
      <alignment horizontal="center" vertical="center"/>
    </xf>
    <xf numFmtId="10" fontId="7" fillId="6" borderId="42" xfId="0" applyNumberFormat="1" applyFont="1" applyFill="1" applyBorder="1" applyAlignment="1" applyProtection="1">
      <alignment horizontal="center" vertical="center"/>
    </xf>
    <xf numFmtId="10" fontId="7" fillId="4" borderId="22" xfId="3" applyNumberFormat="1" applyFont="1" applyFill="1" applyBorder="1" applyAlignment="1" applyProtection="1">
      <alignment horizontal="right" vertical="center"/>
      <protection locked="0"/>
    </xf>
    <xf numFmtId="10" fontId="7" fillId="4" borderId="42" xfId="3" applyNumberFormat="1" applyFont="1" applyFill="1" applyBorder="1" applyAlignment="1" applyProtection="1">
      <alignment horizontal="right" vertical="center"/>
      <protection locked="0"/>
    </xf>
    <xf numFmtId="0" fontId="7" fillId="0" borderId="9" xfId="0" applyFont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/>
    </xf>
    <xf numFmtId="0" fontId="17" fillId="3" borderId="10" xfId="0" applyFont="1" applyFill="1" applyBorder="1" applyAlignment="1" applyProtection="1">
      <alignment horizontal="center" vertical="center"/>
    </xf>
    <xf numFmtId="0" fontId="17" fillId="3" borderId="2" xfId="0" applyFont="1" applyFill="1" applyBorder="1" applyAlignment="1" applyProtection="1">
      <alignment horizontal="center" vertical="center"/>
    </xf>
    <xf numFmtId="0" fontId="17" fillId="3" borderId="4" xfId="0" applyFont="1" applyFill="1" applyBorder="1" applyAlignment="1" applyProtection="1">
      <alignment horizontal="center" vertical="center"/>
    </xf>
    <xf numFmtId="0" fontId="17" fillId="3" borderId="3" xfId="0" applyFont="1" applyFill="1" applyBorder="1" applyAlignment="1" applyProtection="1">
      <alignment horizontal="center" vertical="center"/>
    </xf>
    <xf numFmtId="0" fontId="17" fillId="3" borderId="19" xfId="0" applyFont="1" applyFill="1" applyBorder="1" applyAlignment="1" applyProtection="1">
      <alignment horizontal="center" vertical="center"/>
    </xf>
    <xf numFmtId="0" fontId="17" fillId="3" borderId="20" xfId="0" applyFont="1" applyFill="1" applyBorder="1" applyAlignment="1" applyProtection="1">
      <alignment horizontal="center" vertical="center"/>
    </xf>
    <xf numFmtId="0" fontId="17" fillId="3" borderId="28" xfId="0" applyFont="1" applyFill="1" applyBorder="1" applyAlignment="1" applyProtection="1">
      <alignment horizontal="center" vertical="center"/>
    </xf>
    <xf numFmtId="0" fontId="17" fillId="3" borderId="44" xfId="0" applyFont="1" applyFill="1" applyBorder="1" applyAlignment="1" applyProtection="1">
      <alignment horizontal="center" vertical="center"/>
    </xf>
    <xf numFmtId="0" fontId="17" fillId="3" borderId="60" xfId="0" applyFont="1" applyFill="1" applyBorder="1" applyAlignment="1" applyProtection="1">
      <alignment horizontal="center" vertical="center"/>
    </xf>
    <xf numFmtId="10" fontId="7" fillId="6" borderId="25" xfId="0" applyNumberFormat="1" applyFont="1" applyFill="1" applyBorder="1" applyAlignment="1" applyProtection="1">
      <alignment horizontal="center" vertical="center"/>
    </xf>
    <xf numFmtId="10" fontId="7" fillId="6" borderId="26" xfId="0" applyNumberFormat="1" applyFont="1" applyFill="1" applyBorder="1" applyAlignment="1" applyProtection="1">
      <alignment horizontal="center" vertical="center"/>
    </xf>
    <xf numFmtId="10" fontId="7" fillId="6" borderId="45" xfId="0" applyNumberFormat="1" applyFont="1" applyFill="1" applyBorder="1" applyAlignment="1" applyProtection="1">
      <alignment horizontal="center" vertical="center"/>
    </xf>
    <xf numFmtId="10" fontId="7" fillId="4" borderId="26" xfId="3" applyNumberFormat="1" applyFont="1" applyFill="1" applyBorder="1" applyAlignment="1" applyProtection="1">
      <alignment horizontal="right" vertical="center"/>
      <protection locked="0"/>
    </xf>
    <xf numFmtId="10" fontId="7" fillId="4" borderId="45" xfId="3" applyNumberFormat="1" applyFont="1" applyFill="1" applyBorder="1" applyAlignment="1" applyProtection="1">
      <alignment horizontal="right" vertical="center"/>
      <protection locked="0"/>
    </xf>
    <xf numFmtId="0" fontId="2" fillId="4" borderId="44" xfId="0" applyFont="1" applyFill="1" applyBorder="1" applyAlignment="1" applyProtection="1">
      <alignment horizontal="left" vertical="center"/>
      <protection locked="0"/>
    </xf>
    <xf numFmtId="0" fontId="2" fillId="4" borderId="20" xfId="0" applyFont="1" applyFill="1" applyBorder="1" applyAlignment="1" applyProtection="1">
      <alignment horizontal="left" vertical="center"/>
      <protection locked="0"/>
    </xf>
    <xf numFmtId="0" fontId="2" fillId="4" borderId="28" xfId="0" applyFont="1" applyFill="1" applyBorder="1" applyAlignment="1" applyProtection="1">
      <alignment horizontal="left" vertical="center"/>
      <protection locked="0"/>
    </xf>
    <xf numFmtId="166" fontId="2" fillId="4" borderId="19" xfId="0" applyNumberFormat="1" applyFont="1" applyFill="1" applyBorder="1" applyAlignment="1" applyProtection="1">
      <alignment horizontal="left" vertical="center"/>
      <protection locked="0"/>
    </xf>
    <xf numFmtId="166" fontId="2" fillId="4" borderId="20" xfId="0" applyNumberFormat="1" applyFont="1" applyFill="1" applyBorder="1" applyAlignment="1" applyProtection="1">
      <alignment horizontal="left" vertical="center"/>
      <protection locked="0"/>
    </xf>
    <xf numFmtId="166" fontId="2" fillId="4" borderId="28" xfId="0" applyNumberFormat="1" applyFont="1" applyFill="1" applyBorder="1" applyAlignment="1" applyProtection="1">
      <alignment horizontal="left" vertical="center"/>
      <protection locked="0"/>
    </xf>
    <xf numFmtId="166" fontId="5" fillId="7" borderId="19" xfId="0" applyNumberFormat="1" applyFont="1" applyFill="1" applyBorder="1" applyAlignment="1" applyProtection="1">
      <alignment horizontal="left" vertical="center"/>
      <protection locked="0"/>
    </xf>
    <xf numFmtId="166" fontId="5" fillId="7" borderId="20" xfId="0" applyNumberFormat="1" applyFont="1" applyFill="1" applyBorder="1" applyAlignment="1" applyProtection="1">
      <alignment horizontal="left" vertical="center"/>
      <protection locked="0"/>
    </xf>
    <xf numFmtId="166" fontId="5" fillId="7" borderId="60" xfId="0" applyNumberFormat="1" applyFont="1" applyFill="1" applyBorder="1" applyAlignment="1" applyProtection="1">
      <alignment horizontal="left" vertical="center"/>
      <protection locked="0"/>
    </xf>
    <xf numFmtId="0" fontId="8" fillId="3" borderId="17" xfId="0" applyFont="1" applyFill="1" applyBorder="1" applyAlignment="1" applyProtection="1">
      <alignment horizontal="center" vertical="center"/>
    </xf>
    <xf numFmtId="0" fontId="8" fillId="3" borderId="18" xfId="0" applyFont="1" applyFill="1" applyBorder="1" applyAlignment="1" applyProtection="1">
      <alignment horizontal="center" vertical="center"/>
    </xf>
    <xf numFmtId="0" fontId="8" fillId="3" borderId="19" xfId="0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center" vertical="center"/>
    </xf>
    <xf numFmtId="0" fontId="17" fillId="3" borderId="46" xfId="0" applyFont="1" applyFill="1" applyBorder="1" applyAlignment="1" applyProtection="1">
      <alignment horizontal="right" vertical="center"/>
    </xf>
    <xf numFmtId="0" fontId="17" fillId="3" borderId="18" xfId="0" applyFont="1" applyFill="1" applyBorder="1" applyAlignment="1" applyProtection="1">
      <alignment horizontal="right" vertical="center"/>
    </xf>
    <xf numFmtId="0" fontId="17" fillId="3" borderId="27" xfId="0" applyFont="1" applyFill="1" applyBorder="1" applyAlignment="1" applyProtection="1">
      <alignment horizontal="right" vertical="center"/>
    </xf>
    <xf numFmtId="0" fontId="17" fillId="3" borderId="47" xfId="0" applyFont="1" applyFill="1" applyBorder="1" applyAlignment="1" applyProtection="1">
      <alignment horizontal="right" vertical="center"/>
    </xf>
    <xf numFmtId="0" fontId="17" fillId="3" borderId="20" xfId="0" applyFont="1" applyFill="1" applyBorder="1" applyAlignment="1" applyProtection="1">
      <alignment horizontal="right" vertical="center"/>
    </xf>
    <xf numFmtId="0" fontId="17" fillId="3" borderId="28" xfId="0" applyFont="1" applyFill="1" applyBorder="1" applyAlignment="1" applyProtection="1">
      <alignment horizontal="right" vertical="center"/>
    </xf>
    <xf numFmtId="10" fontId="17" fillId="5" borderId="17" xfId="3" applyNumberFormat="1" applyFont="1" applyFill="1" applyBorder="1" applyAlignment="1" applyProtection="1">
      <alignment horizontal="center" vertical="center"/>
    </xf>
    <xf numFmtId="10" fontId="17" fillId="5" borderId="18" xfId="3" applyNumberFormat="1" applyFont="1" applyFill="1" applyBorder="1" applyAlignment="1" applyProtection="1">
      <alignment horizontal="center" vertical="center"/>
    </xf>
    <xf numFmtId="10" fontId="17" fillId="5" borderId="61" xfId="3" applyNumberFormat="1" applyFont="1" applyFill="1" applyBorder="1" applyAlignment="1" applyProtection="1">
      <alignment horizontal="center" vertical="center"/>
    </xf>
    <xf numFmtId="10" fontId="17" fillId="5" borderId="19" xfId="3" applyNumberFormat="1" applyFont="1" applyFill="1" applyBorder="1" applyAlignment="1" applyProtection="1">
      <alignment horizontal="center" vertical="center"/>
    </xf>
    <xf numFmtId="10" fontId="17" fillId="5" borderId="20" xfId="3" applyNumberFormat="1" applyFont="1" applyFill="1" applyBorder="1" applyAlignment="1" applyProtection="1">
      <alignment horizontal="center" vertical="center"/>
    </xf>
    <xf numFmtId="10" fontId="17" fillId="5" borderId="60" xfId="3" applyNumberFormat="1" applyFont="1" applyFill="1" applyBorder="1" applyAlignment="1" applyProtection="1">
      <alignment horizontal="center" vertical="center"/>
    </xf>
    <xf numFmtId="0" fontId="8" fillId="3" borderId="59" xfId="0" applyFont="1" applyFill="1" applyBorder="1" applyAlignment="1" applyProtection="1">
      <alignment horizontal="center" vertical="center" textRotation="90"/>
    </xf>
    <xf numFmtId="0" fontId="8" fillId="3" borderId="65" xfId="0" applyFont="1" applyFill="1" applyBorder="1" applyAlignment="1" applyProtection="1">
      <alignment horizontal="center" vertical="center" textRotation="90"/>
    </xf>
    <xf numFmtId="0" fontId="8" fillId="3" borderId="66" xfId="0" applyFont="1" applyFill="1" applyBorder="1" applyAlignment="1" applyProtection="1">
      <alignment horizontal="center" vertical="center" textRotation="90"/>
    </xf>
    <xf numFmtId="0" fontId="8" fillId="3" borderId="27" xfId="0" applyFont="1" applyFill="1" applyBorder="1" applyAlignment="1" applyProtection="1">
      <alignment horizontal="center" vertical="center"/>
    </xf>
    <xf numFmtId="0" fontId="8" fillId="3" borderId="11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16" xfId="0" applyFont="1" applyFill="1" applyBorder="1" applyAlignment="1" applyProtection="1">
      <alignment horizontal="center" vertical="center"/>
    </xf>
    <xf numFmtId="0" fontId="8" fillId="3" borderId="28" xfId="0" applyFont="1" applyFill="1" applyBorder="1" applyAlignment="1" applyProtection="1">
      <alignment horizontal="center" vertical="center"/>
    </xf>
    <xf numFmtId="0" fontId="17" fillId="3" borderId="17" xfId="0" applyFont="1" applyFill="1" applyBorder="1" applyAlignment="1" applyProtection="1">
      <alignment horizontal="center" vertical="center"/>
    </xf>
    <xf numFmtId="0" fontId="17" fillId="3" borderId="27" xfId="0" applyFont="1" applyFill="1" applyBorder="1" applyAlignment="1" applyProtection="1">
      <alignment horizontal="center" vertical="center"/>
    </xf>
    <xf numFmtId="0" fontId="17" fillId="3" borderId="11" xfId="0" applyFont="1" applyFill="1" applyBorder="1" applyAlignment="1" applyProtection="1">
      <alignment horizontal="center" vertical="center"/>
    </xf>
    <xf numFmtId="0" fontId="17" fillId="3" borderId="16" xfId="0" applyFont="1" applyFill="1" applyBorder="1" applyAlignment="1" applyProtection="1">
      <alignment horizontal="center" vertical="center"/>
    </xf>
    <xf numFmtId="167" fontId="17" fillId="3" borderId="17" xfId="0" applyNumberFormat="1" applyFont="1" applyFill="1" applyBorder="1" applyAlignment="1" applyProtection="1">
      <alignment horizontal="center" vertical="center"/>
    </xf>
    <xf numFmtId="167" fontId="17" fillId="3" borderId="18" xfId="0" applyNumberFormat="1" applyFont="1" applyFill="1" applyBorder="1" applyAlignment="1" applyProtection="1">
      <alignment horizontal="center" vertical="center"/>
    </xf>
    <xf numFmtId="167" fontId="17" fillId="3" borderId="27" xfId="0" applyNumberFormat="1" applyFont="1" applyFill="1" applyBorder="1" applyAlignment="1" applyProtection="1">
      <alignment horizontal="center" vertical="center"/>
    </xf>
    <xf numFmtId="167" fontId="17" fillId="3" borderId="11" xfId="0" applyNumberFormat="1" applyFont="1" applyFill="1" applyBorder="1" applyAlignment="1" applyProtection="1">
      <alignment horizontal="center" vertical="center"/>
    </xf>
    <xf numFmtId="167" fontId="17" fillId="3" borderId="0" xfId="0" applyNumberFormat="1" applyFont="1" applyFill="1" applyBorder="1" applyAlignment="1" applyProtection="1">
      <alignment horizontal="center" vertical="center"/>
    </xf>
    <xf numFmtId="167" fontId="17" fillId="3" borderId="16" xfId="0" applyNumberFormat="1" applyFont="1" applyFill="1" applyBorder="1" applyAlignment="1" applyProtection="1">
      <alignment horizontal="center" vertical="center"/>
    </xf>
    <xf numFmtId="167" fontId="17" fillId="3" borderId="19" xfId="0" applyNumberFormat="1" applyFont="1" applyFill="1" applyBorder="1" applyAlignment="1" applyProtection="1">
      <alignment horizontal="center" vertical="center"/>
    </xf>
    <xf numFmtId="167" fontId="17" fillId="3" borderId="20" xfId="0" applyNumberFormat="1" applyFont="1" applyFill="1" applyBorder="1" applyAlignment="1" applyProtection="1">
      <alignment horizontal="center" vertical="center"/>
    </xf>
    <xf numFmtId="167" fontId="17" fillId="3" borderId="28" xfId="0" applyNumberFormat="1" applyFont="1" applyFill="1" applyBorder="1" applyAlignment="1" applyProtection="1">
      <alignment horizontal="center" vertical="center"/>
    </xf>
    <xf numFmtId="0" fontId="28" fillId="3" borderId="52" xfId="0" applyFont="1" applyFill="1" applyBorder="1" applyAlignment="1" applyProtection="1">
      <alignment horizontal="center" vertical="center"/>
    </xf>
    <xf numFmtId="0" fontId="28" fillId="3" borderId="18" xfId="0" applyFont="1" applyFill="1" applyBorder="1" applyAlignment="1" applyProtection="1">
      <alignment horizontal="center" vertical="center"/>
    </xf>
    <xf numFmtId="0" fontId="28" fillId="3" borderId="27" xfId="0" applyFont="1" applyFill="1" applyBorder="1" applyAlignment="1" applyProtection="1">
      <alignment horizontal="center" vertical="center"/>
    </xf>
    <xf numFmtId="0" fontId="28" fillId="3" borderId="44" xfId="0" applyFont="1" applyFill="1" applyBorder="1" applyAlignment="1" applyProtection="1">
      <alignment horizontal="center" vertical="center"/>
    </xf>
    <xf numFmtId="0" fontId="28" fillId="3" borderId="20" xfId="0" applyFont="1" applyFill="1" applyBorder="1" applyAlignment="1" applyProtection="1">
      <alignment horizontal="center" vertical="center"/>
    </xf>
    <xf numFmtId="0" fontId="28" fillId="3" borderId="28" xfId="0" applyFont="1" applyFill="1" applyBorder="1" applyAlignment="1" applyProtection="1">
      <alignment horizontal="center" vertical="center"/>
    </xf>
    <xf numFmtId="4" fontId="7" fillId="0" borderId="0" xfId="5" applyNumberFormat="1" applyFont="1" applyFill="1" applyBorder="1" applyAlignment="1" applyProtection="1">
      <alignment horizontal="right" vertical="center"/>
      <protection locked="0"/>
    </xf>
    <xf numFmtId="165" fontId="7" fillId="0" borderId="0" xfId="5" applyFont="1" applyFill="1" applyBorder="1" applyAlignment="1" applyProtection="1">
      <alignment horizontal="right" vertical="center"/>
      <protection locked="0"/>
    </xf>
    <xf numFmtId="4" fontId="7" fillId="0" borderId="0" xfId="5" applyNumberFormat="1" applyFont="1" applyFill="1" applyBorder="1" applyAlignment="1" applyProtection="1">
      <alignment horizontal="center" vertical="center"/>
      <protection locked="0"/>
    </xf>
    <xf numFmtId="0" fontId="14" fillId="7" borderId="23" xfId="0" applyNumberFormat="1" applyFont="1" applyFill="1" applyBorder="1" applyAlignment="1" applyProtection="1">
      <alignment horizontal="center" vertical="center"/>
      <protection locked="0"/>
    </xf>
    <xf numFmtId="0" fontId="14" fillId="7" borderId="30" xfId="0" applyNumberFormat="1" applyFont="1" applyFill="1" applyBorder="1" applyAlignment="1" applyProtection="1">
      <alignment horizontal="center" vertical="center"/>
      <protection locked="0"/>
    </xf>
    <xf numFmtId="49" fontId="14" fillId="7" borderId="23" xfId="0" quotePrefix="1" applyNumberFormat="1" applyFont="1" applyFill="1" applyBorder="1" applyAlignment="1" applyProtection="1">
      <alignment horizontal="center" vertical="center" wrapText="1"/>
      <protection locked="0"/>
    </xf>
    <xf numFmtId="49" fontId="14" fillId="7" borderId="30" xfId="0" applyNumberFormat="1" applyFont="1" applyFill="1" applyBorder="1" applyAlignment="1" applyProtection="1">
      <alignment horizontal="center" vertical="center" wrapText="1"/>
      <protection locked="0"/>
    </xf>
    <xf numFmtId="0" fontId="14" fillId="7" borderId="23" xfId="0" applyFont="1" applyFill="1" applyBorder="1" applyAlignment="1" applyProtection="1">
      <alignment horizontal="left" vertical="center" wrapText="1"/>
      <protection locked="0"/>
    </xf>
    <xf numFmtId="0" fontId="14" fillId="7" borderId="24" xfId="0" applyFont="1" applyFill="1" applyBorder="1" applyAlignment="1" applyProtection="1">
      <alignment horizontal="left" vertical="center" wrapText="1"/>
      <protection locked="0"/>
    </xf>
    <xf numFmtId="0" fontId="14" fillId="7" borderId="30" xfId="0" applyFont="1" applyFill="1" applyBorder="1" applyAlignment="1" applyProtection="1">
      <alignment horizontal="left" vertical="center" wrapText="1"/>
      <protection locked="0"/>
    </xf>
    <xf numFmtId="4" fontId="29" fillId="7" borderId="23" xfId="0" applyNumberFormat="1" applyFont="1" applyFill="1" applyBorder="1" applyAlignment="1" applyProtection="1">
      <alignment horizontal="right" vertical="center"/>
    </xf>
    <xf numFmtId="4" fontId="29" fillId="7" borderId="24" xfId="0" applyNumberFormat="1" applyFont="1" applyFill="1" applyBorder="1" applyAlignment="1" applyProtection="1">
      <alignment horizontal="right" vertical="center"/>
    </xf>
    <xf numFmtId="4" fontId="29" fillId="7" borderId="30" xfId="0" applyNumberFormat="1" applyFont="1" applyFill="1" applyBorder="1" applyAlignment="1" applyProtection="1">
      <alignment horizontal="right" vertical="center"/>
    </xf>
    <xf numFmtId="4" fontId="14" fillId="5" borderId="15" xfId="5" applyNumberFormat="1" applyFont="1" applyFill="1" applyBorder="1" applyAlignment="1" applyProtection="1">
      <alignment horizontal="right" vertical="center"/>
    </xf>
    <xf numFmtId="4" fontId="14" fillId="5" borderId="68" xfId="5" applyNumberFormat="1" applyFont="1" applyFill="1" applyBorder="1" applyAlignment="1" applyProtection="1">
      <alignment horizontal="right" vertical="center"/>
    </xf>
    <xf numFmtId="0" fontId="30" fillId="10" borderId="33" xfId="0" applyFont="1" applyFill="1" applyBorder="1" applyAlignment="1">
      <alignment vertical="top" wrapText="1"/>
    </xf>
    <xf numFmtId="0" fontId="30" fillId="10" borderId="77" xfId="0" applyFont="1" applyFill="1" applyBorder="1" applyAlignment="1">
      <alignment vertical="top" wrapText="1"/>
    </xf>
    <xf numFmtId="0" fontId="30" fillId="10" borderId="15" xfId="0" applyFont="1" applyFill="1" applyBorder="1" applyAlignment="1">
      <alignment vertical="top" wrapText="1"/>
    </xf>
    <xf numFmtId="0" fontId="30" fillId="10" borderId="78" xfId="0" applyFont="1" applyFill="1" applyBorder="1" applyAlignment="1">
      <alignment vertical="top" wrapText="1"/>
    </xf>
    <xf numFmtId="0" fontId="5" fillId="10" borderId="52" xfId="0" applyFont="1" applyFill="1" applyBorder="1" applyAlignment="1">
      <alignment horizontal="center" vertical="center" wrapText="1"/>
    </xf>
    <xf numFmtId="0" fontId="5" fillId="10" borderId="27" xfId="0" applyFont="1" applyFill="1" applyBorder="1" applyAlignment="1">
      <alignment horizontal="center" vertical="center" wrapText="1"/>
    </xf>
    <xf numFmtId="0" fontId="5" fillId="10" borderId="32" xfId="0" applyFont="1" applyFill="1" applyBorder="1" applyAlignment="1">
      <alignment horizontal="center" vertical="center" wrapText="1"/>
    </xf>
    <xf numFmtId="0" fontId="5" fillId="10" borderId="51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49" fontId="31" fillId="10" borderId="33" xfId="0" applyNumberFormat="1" applyFont="1" applyFill="1" applyBorder="1" applyAlignment="1">
      <alignment vertical="top" wrapText="1"/>
    </xf>
    <xf numFmtId="49" fontId="31" fillId="10" borderId="15" xfId="0" applyNumberFormat="1" applyFont="1" applyFill="1" applyBorder="1" applyAlignment="1">
      <alignment vertical="top" wrapText="1"/>
    </xf>
    <xf numFmtId="0" fontId="30" fillId="10" borderId="77" xfId="0" applyFont="1" applyFill="1" applyBorder="1" applyAlignment="1">
      <alignment horizontal="center" vertical="top" wrapText="1"/>
    </xf>
    <xf numFmtId="0" fontId="30" fillId="10" borderId="76" xfId="0" applyFont="1" applyFill="1" applyBorder="1" applyAlignment="1">
      <alignment horizontal="center" vertical="top" wrapText="1"/>
    </xf>
    <xf numFmtId="0" fontId="5" fillId="10" borderId="15" xfId="0" applyFont="1" applyFill="1" applyBorder="1" applyAlignment="1">
      <alignment vertical="top" wrapText="1"/>
    </xf>
    <xf numFmtId="0" fontId="5" fillId="10" borderId="33" xfId="0" applyFont="1" applyFill="1" applyBorder="1" applyAlignment="1">
      <alignment horizontal="center" vertical="top" wrapText="1"/>
    </xf>
    <xf numFmtId="0" fontId="5" fillId="10" borderId="78" xfId="0" applyFont="1" applyFill="1" applyBorder="1" applyAlignment="1">
      <alignment horizontal="left" vertical="top" wrapText="1"/>
    </xf>
    <xf numFmtId="0" fontId="5" fillId="10" borderId="75" xfId="0" applyFont="1" applyFill="1" applyBorder="1" applyAlignment="1">
      <alignment horizontal="left" vertical="top" wrapText="1"/>
    </xf>
    <xf numFmtId="0" fontId="30" fillId="10" borderId="33" xfId="0" applyFont="1" applyFill="1" applyBorder="1" applyAlignment="1">
      <alignment horizontal="center" vertical="top" wrapText="1"/>
    </xf>
    <xf numFmtId="0" fontId="5" fillId="10" borderId="77" xfId="0" applyFont="1" applyFill="1" applyBorder="1" applyAlignment="1">
      <alignment horizontal="center" vertical="top" wrapText="1"/>
    </xf>
    <xf numFmtId="0" fontId="5" fillId="10" borderId="76" xfId="0" applyFont="1" applyFill="1" applyBorder="1" applyAlignment="1">
      <alignment horizontal="center" vertical="top" wrapText="1"/>
    </xf>
    <xf numFmtId="0" fontId="5" fillId="10" borderId="74" xfId="0" applyFont="1" applyFill="1" applyBorder="1" applyAlignment="1">
      <alignment horizontal="left" vertical="center"/>
    </xf>
    <xf numFmtId="0" fontId="5" fillId="10" borderId="55" xfId="0" applyFont="1" applyFill="1" applyBorder="1" applyAlignment="1">
      <alignment horizontal="left" vertical="center"/>
    </xf>
    <xf numFmtId="0" fontId="5" fillId="10" borderId="54" xfId="0" applyFont="1" applyFill="1" applyBorder="1" applyAlignment="1">
      <alignment horizontal="left" vertical="center" wrapText="1"/>
    </xf>
    <xf numFmtId="0" fontId="5" fillId="10" borderId="56" xfId="0" applyFont="1" applyFill="1" applyBorder="1" applyAlignment="1">
      <alignment horizontal="left" vertical="center" wrapText="1"/>
    </xf>
    <xf numFmtId="0" fontId="5" fillId="10" borderId="59" xfId="0" applyFont="1" applyFill="1" applyBorder="1" applyAlignment="1">
      <alignment horizontal="center" vertical="top" wrapText="1"/>
    </xf>
    <xf numFmtId="0" fontId="5" fillId="10" borderId="71" xfId="0" applyFont="1" applyFill="1" applyBorder="1" applyAlignment="1">
      <alignment horizontal="center" vertical="center"/>
    </xf>
    <xf numFmtId="0" fontId="5" fillId="10" borderId="72" xfId="0" applyFont="1" applyFill="1" applyBorder="1" applyAlignment="1">
      <alignment horizontal="center" vertical="center"/>
    </xf>
    <xf numFmtId="0" fontId="5" fillId="10" borderId="50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/>
    </xf>
    <xf numFmtId="0" fontId="5" fillId="10" borderId="0" xfId="0" applyFont="1" applyFill="1" applyBorder="1" applyAlignment="1">
      <alignment horizontal="center"/>
    </xf>
    <xf numFmtId="0" fontId="5" fillId="10" borderId="57" xfId="0" applyFont="1" applyFill="1" applyBorder="1" applyAlignment="1">
      <alignment horizontal="left" vertical="center"/>
    </xf>
    <xf numFmtId="0" fontId="5" fillId="10" borderId="73" xfId="0" applyFont="1" applyFill="1" applyBorder="1" applyAlignment="1">
      <alignment horizontal="left" vertical="center"/>
    </xf>
    <xf numFmtId="0" fontId="5" fillId="10" borderId="58" xfId="0" applyFont="1" applyFill="1" applyBorder="1" applyAlignment="1">
      <alignment horizontal="left" vertical="center"/>
    </xf>
    <xf numFmtId="168" fontId="1" fillId="0" borderId="0" xfId="8" applyNumberFormat="1" applyFont="1" applyFill="1" applyBorder="1" applyAlignment="1" applyProtection="1">
      <alignment horizontal="left"/>
    </xf>
    <xf numFmtId="0" fontId="1" fillId="0" borderId="18" xfId="8" applyFont="1" applyBorder="1" applyAlignment="1" applyProtection="1">
      <alignment horizontal="center" vertical="center"/>
    </xf>
    <xf numFmtId="49" fontId="1" fillId="0" borderId="0" xfId="8" applyNumberFormat="1" applyFont="1" applyFill="1" applyBorder="1" applyAlignment="1" applyProtection="1">
      <alignment horizontal="left"/>
      <protection locked="0"/>
    </xf>
    <xf numFmtId="0" fontId="6" fillId="0" borderId="0" xfId="8" applyFont="1" applyBorder="1" applyAlignment="1" applyProtection="1">
      <alignment horizontal="left" vertical="center"/>
    </xf>
    <xf numFmtId="0" fontId="1" fillId="0" borderId="0" xfId="8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right" vertical="center"/>
    </xf>
    <xf numFmtId="0" fontId="25" fillId="0" borderId="0" xfId="0" applyFont="1" applyBorder="1" applyAlignment="1" applyProtection="1">
      <alignment horizontal="center"/>
    </xf>
    <xf numFmtId="0" fontId="24" fillId="0" borderId="0" xfId="0" quotePrefix="1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center" vertical="top"/>
    </xf>
    <xf numFmtId="0" fontId="27" fillId="0" borderId="9" xfId="8" applyFont="1" applyBorder="1" applyAlignment="1" applyProtection="1">
      <alignment horizontal="center" vertical="center" wrapText="1"/>
    </xf>
    <xf numFmtId="49" fontId="1" fillId="9" borderId="10" xfId="8" applyNumberFormat="1" applyFont="1" applyFill="1" applyBorder="1" applyAlignment="1" applyProtection="1">
      <alignment horizontal="left" vertical="top" wrapText="1"/>
      <protection locked="0"/>
    </xf>
    <xf numFmtId="49" fontId="1" fillId="9" borderId="2" xfId="8" applyNumberFormat="1" applyFont="1" applyFill="1" applyBorder="1" applyAlignment="1" applyProtection="1">
      <alignment horizontal="left" vertical="top" wrapText="1"/>
      <protection locked="0"/>
    </xf>
    <xf numFmtId="49" fontId="1" fillId="9" borderId="12" xfId="8" applyNumberFormat="1" applyFont="1" applyFill="1" applyBorder="1" applyAlignment="1" applyProtection="1">
      <alignment horizontal="left" vertical="top" wrapText="1"/>
      <protection locked="0"/>
    </xf>
    <xf numFmtId="168" fontId="1" fillId="0" borderId="20" xfId="8" applyNumberFormat="1" applyFont="1" applyFill="1" applyBorder="1" applyAlignment="1" applyProtection="1">
      <alignment horizontal="left"/>
    </xf>
    <xf numFmtId="169" fontId="1" fillId="0" borderId="20" xfId="8" applyNumberFormat="1" applyFont="1" applyBorder="1" applyAlignment="1" applyProtection="1">
      <alignment horizontal="left"/>
    </xf>
    <xf numFmtId="0" fontId="2" fillId="0" borderId="0" xfId="8" applyFont="1" applyBorder="1" applyAlignment="1" applyProtection="1">
      <alignment horizontal="left" vertical="center"/>
    </xf>
    <xf numFmtId="0" fontId="23" fillId="0" borderId="0" xfId="8" applyFont="1" applyAlignment="1" applyProtection="1">
      <alignment horizontal="left" vertical="center" indent="1"/>
    </xf>
    <xf numFmtId="0" fontId="1" fillId="0" borderId="9" xfId="8" applyFont="1" applyBorder="1" applyAlignment="1" applyProtection="1">
      <alignment horizontal="left" vertical="center" wrapText="1"/>
    </xf>
    <xf numFmtId="0" fontId="1" fillId="0" borderId="9" xfId="8" applyFont="1" applyBorder="1" applyAlignment="1" applyProtection="1">
      <alignment horizontal="left" vertical="center"/>
    </xf>
    <xf numFmtId="0" fontId="20" fillId="0" borderId="0" xfId="8" applyFont="1" applyBorder="1" applyAlignment="1" applyProtection="1">
      <alignment horizontal="left" vertical="center" wrapText="1"/>
    </xf>
    <xf numFmtId="2" fontId="21" fillId="0" borderId="18" xfId="8" applyNumberFormat="1" applyFont="1" applyFill="1" applyBorder="1" applyAlignment="1" applyProtection="1">
      <alignment horizontal="center" vertical="center"/>
    </xf>
    <xf numFmtId="0" fontId="7" fillId="0" borderId="9" xfId="8" applyFont="1" applyFill="1" applyBorder="1" applyAlignment="1" applyProtection="1">
      <alignment horizontal="left"/>
    </xf>
    <xf numFmtId="10" fontId="7" fillId="9" borderId="9" xfId="8" applyNumberFormat="1" applyFont="1" applyFill="1" applyBorder="1" applyAlignment="1" applyProtection="1">
      <alignment horizontal="center"/>
      <protection locked="0"/>
    </xf>
    <xf numFmtId="0" fontId="6" fillId="0" borderId="9" xfId="8" applyFont="1" applyBorder="1" applyAlignment="1" applyProtection="1">
      <alignment horizontal="center" vertical="center"/>
    </xf>
    <xf numFmtId="4" fontId="6" fillId="0" borderId="9" xfId="8" applyNumberFormat="1" applyFont="1" applyFill="1" applyBorder="1" applyAlignment="1" applyProtection="1">
      <alignment horizontal="center" vertical="center" wrapText="1"/>
    </xf>
    <xf numFmtId="0" fontId="6" fillId="0" borderId="9" xfId="8" applyFont="1" applyFill="1" applyBorder="1" applyAlignment="1" applyProtection="1">
      <alignment horizontal="center" vertical="center"/>
    </xf>
    <xf numFmtId="0" fontId="2" fillId="0" borderId="9" xfId="8" applyFont="1" applyFill="1" applyBorder="1" applyAlignment="1" applyProtection="1">
      <alignment horizontal="center" vertical="center"/>
    </xf>
    <xf numFmtId="0" fontId="2" fillId="0" borderId="11" xfId="11" applyFont="1" applyBorder="1" applyAlignment="1" applyProtection="1">
      <alignment horizontal="left" vertical="top"/>
    </xf>
    <xf numFmtId="0" fontId="2" fillId="0" borderId="0" xfId="11" applyFont="1" applyBorder="1" applyAlignment="1" applyProtection="1">
      <alignment horizontal="left" vertical="top"/>
    </xf>
    <xf numFmtId="0" fontId="2" fillId="0" borderId="16" xfId="11" applyFont="1" applyBorder="1" applyAlignment="1" applyProtection="1">
      <alignment horizontal="left" vertical="top"/>
    </xf>
    <xf numFmtId="164" fontId="7" fillId="9" borderId="19" xfId="12" applyFont="1" applyFill="1" applyBorder="1" applyAlignment="1" applyProtection="1">
      <alignment horizontal="left"/>
      <protection locked="0"/>
    </xf>
    <xf numFmtId="164" fontId="7" fillId="9" borderId="20" xfId="12" applyFont="1" applyFill="1" applyBorder="1" applyAlignment="1" applyProtection="1">
      <alignment horizontal="left"/>
      <protection locked="0"/>
    </xf>
    <xf numFmtId="164" fontId="7" fillId="9" borderId="28" xfId="12" applyFont="1" applyFill="1" applyBorder="1" applyAlignment="1" applyProtection="1">
      <alignment horizontal="left"/>
      <protection locked="0"/>
    </xf>
    <xf numFmtId="0" fontId="1" fillId="0" borderId="19" xfId="8" applyFont="1" applyFill="1" applyBorder="1" applyAlignment="1" applyProtection="1">
      <alignment horizontal="center" vertical="top" wrapText="1"/>
    </xf>
    <xf numFmtId="0" fontId="1" fillId="0" borderId="28" xfId="8" applyFont="1" applyFill="1" applyBorder="1" applyAlignment="1" applyProtection="1">
      <alignment horizontal="center" vertical="top" wrapText="1"/>
    </xf>
    <xf numFmtId="0" fontId="7" fillId="0" borderId="9" xfId="8" applyFont="1" applyFill="1" applyBorder="1" applyAlignment="1" applyProtection="1">
      <alignment horizontal="left" wrapText="1"/>
    </xf>
    <xf numFmtId="0" fontId="7" fillId="0" borderId="31" xfId="12" applyNumberFormat="1" applyFont="1" applyFill="1" applyBorder="1" applyAlignment="1" applyProtection="1">
      <alignment horizontal="left" wrapText="1"/>
    </xf>
    <xf numFmtId="0" fontId="1" fillId="0" borderId="19" xfId="8" applyFont="1" applyFill="1" applyBorder="1" applyAlignment="1" applyProtection="1">
      <alignment horizontal="left" vertical="top" wrapText="1"/>
    </xf>
    <xf numFmtId="0" fontId="1" fillId="0" borderId="28" xfId="8" applyFont="1" applyFill="1" applyBorder="1" applyAlignment="1" applyProtection="1">
      <alignment horizontal="left" vertical="top" wrapText="1"/>
    </xf>
    <xf numFmtId="49" fontId="1" fillId="0" borderId="19" xfId="8" applyNumberFormat="1" applyFont="1" applyFill="1" applyBorder="1" applyAlignment="1" applyProtection="1">
      <alignment horizontal="left" vertical="top" wrapText="1"/>
    </xf>
    <xf numFmtId="0" fontId="1" fillId="0" borderId="20" xfId="8" applyNumberFormat="1" applyFont="1" applyFill="1" applyBorder="1" applyAlignment="1" applyProtection="1">
      <alignment horizontal="left" vertical="top" wrapText="1"/>
    </xf>
    <xf numFmtId="0" fontId="1" fillId="0" borderId="28" xfId="8" applyNumberFormat="1" applyFont="1" applyFill="1" applyBorder="1" applyAlignment="1" applyProtection="1">
      <alignment horizontal="left" vertical="top" wrapText="1"/>
    </xf>
    <xf numFmtId="0" fontId="15" fillId="8" borderId="23" xfId="0" applyFont="1" applyFill="1" applyBorder="1" applyAlignment="1" applyProtection="1">
      <alignment horizontal="center" vertical="center"/>
      <protection locked="0"/>
    </xf>
    <xf numFmtId="0" fontId="15" fillId="8" borderId="30" xfId="0" applyFont="1" applyFill="1" applyBorder="1" applyAlignment="1" applyProtection="1">
      <alignment horizontal="center" vertical="center"/>
      <protection locked="0"/>
    </xf>
  </cellXfs>
  <cellStyles count="13">
    <cellStyle name="Moeda 2" xfId="1"/>
    <cellStyle name="Moeda 2 2" xfId="7"/>
    <cellStyle name="Moeda_Composicao BDI v2.1" xfId="12"/>
    <cellStyle name="Normal" xfId="0" builtinId="0"/>
    <cellStyle name="Normal 2" xfId="2"/>
    <cellStyle name="Normal 2 2" xfId="8"/>
    <cellStyle name="Normal_FICHA DE VERIFICAÇÃO PRELIMINAR - Plano R" xfId="11"/>
    <cellStyle name="Porcentagem" xfId="3" builtinId="5"/>
    <cellStyle name="Porcentagem 2" xfId="4"/>
    <cellStyle name="Porcentagem 2 2" xfId="9"/>
    <cellStyle name="Vírgula" xfId="5" builtinId="3"/>
    <cellStyle name="Vírgula 2" xfId="6"/>
    <cellStyle name="Vírgula 2 2" xfId="10"/>
  </cellStyles>
  <dxfs count="9"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rgb="FFFFFF9E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1"/>
      </font>
      <fill>
        <patternFill>
          <bgColor theme="0" tint="-0.1499679555650502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17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1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FF9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15</xdr:row>
      <xdr:rowOff>0</xdr:rowOff>
    </xdr:from>
    <xdr:to>
      <xdr:col>32</xdr:col>
      <xdr:colOff>0</xdr:colOff>
      <xdr:row>15</xdr:row>
      <xdr:rowOff>0</xdr:rowOff>
    </xdr:to>
    <xdr:sp macro="" textlink="">
      <xdr:nvSpPr>
        <xdr:cNvPr id="10659" name="Oval 1">
          <a:extLst>
            <a:ext uri="{FF2B5EF4-FFF2-40B4-BE49-F238E27FC236}">
              <a16:creationId xmlns="" xmlns:a16="http://schemas.microsoft.com/office/drawing/2014/main" id="{00000000-0008-0000-0000-0000A3290000}"/>
            </a:ext>
          </a:extLst>
        </xdr:cNvPr>
        <xdr:cNvSpPr>
          <a:spLocks noChangeArrowheads="1"/>
        </xdr:cNvSpPr>
      </xdr:nvSpPr>
      <xdr:spPr bwMode="auto">
        <a:xfrm>
          <a:off x="8086725" y="207645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39</xdr:col>
      <xdr:colOff>0</xdr:colOff>
      <xdr:row>15</xdr:row>
      <xdr:rowOff>0</xdr:rowOff>
    </xdr:from>
    <xdr:to>
      <xdr:col>39</xdr:col>
      <xdr:colOff>0</xdr:colOff>
      <xdr:row>15</xdr:row>
      <xdr:rowOff>0</xdr:rowOff>
    </xdr:to>
    <xdr:sp macro="" textlink="">
      <xdr:nvSpPr>
        <xdr:cNvPr id="10660" name="Desenhando 59">
          <a:extLst>
            <a:ext uri="{FF2B5EF4-FFF2-40B4-BE49-F238E27FC236}">
              <a16:creationId xmlns="" xmlns:a16="http://schemas.microsoft.com/office/drawing/2014/main" id="{00000000-0008-0000-0000-0000A4290000}"/>
            </a:ext>
          </a:extLst>
        </xdr:cNvPr>
        <xdr:cNvSpPr>
          <a:spLocks/>
        </xdr:cNvSpPr>
      </xdr:nvSpPr>
      <xdr:spPr bwMode="auto">
        <a:xfrm>
          <a:off x="9620250" y="20764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0"/>
              </a:lnTo>
              <a:lnTo>
                <a:pt x="7490" y="16384"/>
              </a:lnTo>
              <a:lnTo>
                <a:pt x="0" y="0"/>
              </a:lnTo>
              <a:close/>
            </a:path>
          </a:pathLst>
        </a:cu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0</xdr:colOff>
      <xdr:row>15</xdr:row>
      <xdr:rowOff>0</xdr:rowOff>
    </xdr:from>
    <xdr:to>
      <xdr:col>39</xdr:col>
      <xdr:colOff>0</xdr:colOff>
      <xdr:row>15</xdr:row>
      <xdr:rowOff>0</xdr:rowOff>
    </xdr:to>
    <xdr:sp macro="" textlink="">
      <xdr:nvSpPr>
        <xdr:cNvPr id="10661" name="Rectangle 3">
          <a:extLst>
            <a:ext uri="{FF2B5EF4-FFF2-40B4-BE49-F238E27FC236}">
              <a16:creationId xmlns="" xmlns:a16="http://schemas.microsoft.com/office/drawing/2014/main" id="{00000000-0008-0000-0000-0000A5290000}"/>
            </a:ext>
          </a:extLst>
        </xdr:cNvPr>
        <xdr:cNvSpPr>
          <a:spLocks noChangeArrowheads="1"/>
        </xdr:cNvSpPr>
      </xdr:nvSpPr>
      <xdr:spPr bwMode="auto">
        <a:xfrm>
          <a:off x="9620250" y="2076450"/>
          <a:ext cx="0" cy="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35719</xdr:colOff>
      <xdr:row>0</xdr:row>
      <xdr:rowOff>35719</xdr:rowOff>
    </xdr:from>
    <xdr:to>
      <xdr:col>4</xdr:col>
      <xdr:colOff>516732</xdr:colOff>
      <xdr:row>3</xdr:row>
      <xdr:rowOff>50006</xdr:rowOff>
    </xdr:to>
    <xdr:pic>
      <xdr:nvPicPr>
        <xdr:cNvPr id="6" name="Picture 47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7" y="35719"/>
          <a:ext cx="17907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0</xdr:colOff>
      <xdr:row>0</xdr:row>
      <xdr:rowOff>638175</xdr:rowOff>
    </xdr:to>
    <xdr:sp macro="" textlink="">
      <xdr:nvSpPr>
        <xdr:cNvPr id="2" name="Text Box 6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171575" y="0"/>
          <a:ext cx="107727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/>
          <a:r>
            <a:rPr lang="pt-BR" sz="1100">
              <a:effectLst/>
              <a:latin typeface="+mn-lt"/>
              <a:ea typeface="+mn-ea"/>
              <a:cs typeface="+mn-cs"/>
            </a:rPr>
            <a:t> </a:t>
          </a:r>
          <a:endParaRPr lang="pt-BR" sz="1100" b="0" i="0" u="none" strike="noStrike" baseline="0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0</xdr:row>
      <xdr:rowOff>19050</xdr:rowOff>
    </xdr:from>
    <xdr:to>
      <xdr:col>10</xdr:col>
      <xdr:colOff>600075</xdr:colOff>
      <xdr:row>2</xdr:row>
      <xdr:rowOff>76200</xdr:rowOff>
    </xdr:to>
    <xdr:sp macro="" textlink="">
      <xdr:nvSpPr>
        <xdr:cNvPr id="2" name="Object 476" hidden="1">
          <a:extLst>
            <a:ext uri="{63B3BB69-23CF-44E3-9099-C40C66FF867C}">
              <a14:compatExt xmlns:a14="http://schemas.microsoft.com/office/drawing/2010/main" spid="_x0000_s156124"/>
            </a:ex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 bwMode="auto">
        <a:xfrm>
          <a:off x="28575" y="19050"/>
          <a:ext cx="17907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190500</xdr:colOff>
          <xdr:row>0</xdr:row>
          <xdr:rowOff>0</xdr:rowOff>
        </xdr:from>
        <xdr:to>
          <xdr:col>18</xdr:col>
          <xdr:colOff>19050</xdr:colOff>
          <xdr:row>1</xdr:row>
          <xdr:rowOff>133350</xdr:rowOff>
        </xdr:to>
        <xdr:pic>
          <xdr:nvPicPr>
            <xdr:cNvPr id="3" name="SigiloPic">
              <a:extLst>
                <a:ext uri="{FF2B5EF4-FFF2-40B4-BE49-F238E27FC236}">
                  <a16:creationId xmlns="" xmlns:a16="http://schemas.microsoft.com/office/drawing/2014/main" id="{00000000-0008-0000-0300-000003000000}"/>
                </a:ext>
              </a:extLst>
            </xdr:cNvPr>
            <xdr:cNvPicPr>
              <a:picLocks noChangeArrowheads="1"/>
              <a:extLst>
                <a:ext uri="{84589F7E-364E-4C9E-8A38-B11213B215E9}">
                  <a14:cameraTool cellRange="[1]PO!$T$1:$T$2" spid="_x0000_s5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543550" y="0"/>
              <a:ext cx="1047750" cy="3333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28575</xdr:colOff>
      <xdr:row>0</xdr:row>
      <xdr:rowOff>19050</xdr:rowOff>
    </xdr:from>
    <xdr:to>
      <xdr:col>10</xdr:col>
      <xdr:colOff>600075</xdr:colOff>
      <xdr:row>2</xdr:row>
      <xdr:rowOff>76200</xdr:rowOff>
    </xdr:to>
    <xdr:pic>
      <xdr:nvPicPr>
        <xdr:cNvPr id="4" name="Picture 476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17907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ENGENHARIA\Desktop\Modelo%20Planilha%20CAIXA%20-%20MO274760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DI (1)"/>
      <sheetName val="PO"/>
      <sheetName val="PLQ"/>
      <sheetName val="CFF"/>
    </sheetNames>
    <sheetDataSet>
      <sheetData sheetId="0" refreshError="1">
        <row r="29">
          <cell r="A29">
            <v>0</v>
          </cell>
          <cell r="P29" t="str">
            <v xml:space="preserve">PAVIMENTAÇÃO </v>
          </cell>
        </row>
        <row r="32">
          <cell r="A32" t="str">
            <v>PREFEITURA MUNICPAL DE PAPAGAIOS</v>
          </cell>
        </row>
        <row r="56">
          <cell r="A56" t="str">
            <v>CREA/CAU:</v>
          </cell>
        </row>
        <row r="57">
          <cell r="A57" t="str">
            <v>ART/RRT:</v>
          </cell>
        </row>
      </sheetData>
      <sheetData sheetId="1" refreshError="1"/>
      <sheetData sheetId="2" refreshError="1">
        <row r="45">
          <cell r="K45" t="str">
            <v>PAPAGAIOS / MG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52"/>
  <sheetViews>
    <sheetView topLeftCell="A13" zoomScale="68" zoomScaleNormal="68" workbookViewId="0">
      <selection activeCell="AP113" sqref="AP113"/>
    </sheetView>
  </sheetViews>
  <sheetFormatPr defaultColWidth="9.109375" defaultRowHeight="11.4" x14ac:dyDescent="0.25"/>
  <cols>
    <col min="1" max="1" width="5.44140625" style="46" customWidth="1"/>
    <col min="2" max="2" width="7.33203125" style="46" customWidth="1"/>
    <col min="3" max="3" width="5.88671875" style="46" customWidth="1"/>
    <col min="4" max="4" width="6.44140625" style="46" customWidth="1"/>
    <col min="5" max="5" width="11.6640625" style="47" customWidth="1"/>
    <col min="6" max="6" width="4.44140625" style="47" customWidth="1"/>
    <col min="7" max="10" width="3.33203125" style="47" customWidth="1"/>
    <col min="11" max="14" width="3.33203125" style="3" customWidth="1"/>
    <col min="15" max="15" width="3.109375" style="3" customWidth="1"/>
    <col min="16" max="16" width="3.33203125" style="3" customWidth="1"/>
    <col min="17" max="17" width="25.6640625" style="3" customWidth="1"/>
    <col min="18" max="18" width="2.44140625" style="3" hidden="1" customWidth="1"/>
    <col min="19" max="19" width="3.33203125" style="3" customWidth="1"/>
    <col min="20" max="20" width="4.5546875" style="3" customWidth="1"/>
    <col min="21" max="21" width="3.33203125" style="3" customWidth="1"/>
    <col min="22" max="22" width="3.88671875" style="3" customWidth="1"/>
    <col min="23" max="23" width="9" style="3" customWidth="1"/>
    <col min="24" max="25" width="3.33203125" style="3" customWidth="1"/>
    <col min="26" max="26" width="9.5546875" style="3" customWidth="1"/>
    <col min="27" max="27" width="3.33203125" style="3" customWidth="1"/>
    <col min="28" max="28" width="2.6640625" style="3" customWidth="1"/>
    <col min="29" max="29" width="2.109375" style="3" hidden="1" customWidth="1"/>
    <col min="30" max="30" width="12.5546875" style="3" customWidth="1"/>
    <col min="31" max="32" width="3.33203125" style="3" customWidth="1"/>
    <col min="33" max="33" width="8" style="3" customWidth="1"/>
    <col min="34" max="38" width="3.33203125" style="3" customWidth="1"/>
    <col min="39" max="39" width="10.33203125" style="3" customWidth="1"/>
    <col min="40" max="40" width="4.88671875" style="3" hidden="1" customWidth="1"/>
    <col min="41" max="41" width="3.33203125" style="3" customWidth="1"/>
    <col min="42" max="42" width="11.33203125" style="3" customWidth="1"/>
    <col min="43" max="43" width="3.33203125" style="3" customWidth="1"/>
    <col min="44" max="44" width="11" style="3" bestFit="1" customWidth="1"/>
    <col min="45" max="45" width="6.88671875" style="3" customWidth="1"/>
    <col min="46" max="46" width="4.44140625" style="4" customWidth="1"/>
    <col min="47" max="47" width="7.109375" style="3" customWidth="1"/>
    <col min="48" max="48" width="3.33203125" style="3" customWidth="1"/>
    <col min="49" max="49" width="11.5546875" style="3" customWidth="1"/>
    <col min="50" max="55" width="3.33203125" style="3" customWidth="1"/>
    <col min="56" max="16384" width="9.109375" style="3"/>
  </cols>
  <sheetData>
    <row r="1" spans="1:46" ht="6.75" customHeight="1" x14ac:dyDescent="0.25">
      <c r="A1" s="92"/>
      <c r="B1" s="93"/>
      <c r="C1" s="93"/>
      <c r="D1" s="93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5"/>
    </row>
    <row r="2" spans="1:46" ht="12.75" customHeight="1" x14ac:dyDescent="0.25">
      <c r="A2" s="355" t="s">
        <v>10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  <c r="AJ2" s="356"/>
      <c r="AK2" s="356"/>
      <c r="AL2" s="356"/>
      <c r="AM2" s="357"/>
    </row>
    <row r="3" spans="1:46" ht="12" customHeight="1" x14ac:dyDescent="0.25">
      <c r="A3" s="355"/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6"/>
      <c r="Q3" s="356"/>
      <c r="R3" s="356"/>
      <c r="S3" s="356"/>
      <c r="T3" s="356"/>
      <c r="U3" s="356"/>
      <c r="V3" s="356"/>
      <c r="W3" s="356"/>
      <c r="X3" s="356"/>
      <c r="Y3" s="356"/>
      <c r="Z3" s="356"/>
      <c r="AA3" s="356"/>
      <c r="AB3" s="356"/>
      <c r="AC3" s="356"/>
      <c r="AD3" s="356"/>
      <c r="AE3" s="356"/>
      <c r="AF3" s="356"/>
      <c r="AG3" s="356"/>
      <c r="AH3" s="356"/>
      <c r="AI3" s="356"/>
      <c r="AJ3" s="356"/>
      <c r="AK3" s="356"/>
      <c r="AL3" s="356"/>
      <c r="AM3" s="357"/>
    </row>
    <row r="4" spans="1:46" ht="4.5" customHeight="1" x14ac:dyDescent="0.25">
      <c r="A4" s="96"/>
      <c r="B4" s="2"/>
      <c r="C4" s="2"/>
      <c r="D4" s="2"/>
      <c r="E4" s="2"/>
      <c r="F4" s="2"/>
      <c r="G4" s="2"/>
      <c r="H4" s="97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98"/>
    </row>
    <row r="5" spans="1:46" s="5" customFormat="1" ht="13.5" customHeight="1" x14ac:dyDescent="0.25">
      <c r="A5" s="358"/>
      <c r="B5" s="359"/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56"/>
      <c r="Z5" s="56"/>
      <c r="AA5" s="56"/>
      <c r="AB5" s="56"/>
      <c r="AC5" s="56"/>
      <c r="AD5" s="360"/>
      <c r="AE5" s="360"/>
      <c r="AF5" s="360"/>
      <c r="AG5" s="360"/>
      <c r="AH5" s="360"/>
      <c r="AI5" s="360"/>
      <c r="AJ5" s="360"/>
      <c r="AK5" s="360"/>
      <c r="AL5" s="360"/>
      <c r="AM5" s="361"/>
      <c r="AT5" s="6"/>
    </row>
    <row r="6" spans="1:46" ht="5.25" customHeight="1" x14ac:dyDescent="0.25">
      <c r="A6" s="99"/>
      <c r="B6" s="7"/>
      <c r="C6" s="7"/>
      <c r="D6" s="7"/>
      <c r="E6" s="7"/>
      <c r="F6" s="7"/>
      <c r="G6" s="7"/>
      <c r="H6" s="7"/>
      <c r="I6" s="7"/>
      <c r="J6" s="7"/>
      <c r="K6" s="14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98"/>
    </row>
    <row r="7" spans="1:46" s="9" customFormat="1" ht="12" customHeight="1" x14ac:dyDescent="0.25">
      <c r="A7" s="100" t="s">
        <v>11</v>
      </c>
      <c r="B7" s="1"/>
      <c r="C7" s="1"/>
      <c r="D7" s="1"/>
      <c r="E7" s="1"/>
      <c r="F7" s="1"/>
      <c r="G7" s="1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1"/>
      <c r="X7" s="1"/>
      <c r="Y7" s="1"/>
      <c r="Z7" s="1"/>
      <c r="AA7" s="1"/>
      <c r="AB7" s="2"/>
      <c r="AC7" s="2"/>
      <c r="AD7" s="8" t="s">
        <v>12</v>
      </c>
      <c r="AE7" s="2"/>
      <c r="AF7" s="2"/>
      <c r="AG7" s="2"/>
      <c r="AH7" s="2"/>
      <c r="AI7" s="2"/>
      <c r="AJ7" s="2"/>
      <c r="AK7" s="2"/>
      <c r="AL7" s="2"/>
      <c r="AM7" s="98"/>
      <c r="AT7" s="10"/>
    </row>
    <row r="8" spans="1:46" s="9" customFormat="1" ht="14.1" customHeight="1" x14ac:dyDescent="0.25">
      <c r="A8" s="362" t="s">
        <v>73</v>
      </c>
      <c r="B8" s="363"/>
      <c r="C8" s="363"/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3"/>
      <c r="Z8" s="363"/>
      <c r="AA8" s="363"/>
      <c r="AB8" s="363"/>
      <c r="AC8" s="364"/>
      <c r="AD8" s="365" t="s">
        <v>176</v>
      </c>
      <c r="AE8" s="366"/>
      <c r="AF8" s="366"/>
      <c r="AG8" s="366"/>
      <c r="AH8" s="366"/>
      <c r="AI8" s="366"/>
      <c r="AJ8" s="366"/>
      <c r="AK8" s="366"/>
      <c r="AL8" s="366"/>
      <c r="AM8" s="367"/>
      <c r="AT8" s="10"/>
    </row>
    <row r="9" spans="1:46" s="12" customFormat="1" ht="5.25" customHeight="1" x14ac:dyDescent="0.25">
      <c r="A9" s="101"/>
      <c r="B9" s="11"/>
      <c r="C9" s="11"/>
      <c r="D9" s="11"/>
      <c r="E9" s="11"/>
      <c r="F9" s="11"/>
      <c r="G9" s="11"/>
      <c r="H9" s="11"/>
      <c r="I9" s="11"/>
      <c r="J9" s="11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02"/>
      <c r="AT9" s="13"/>
    </row>
    <row r="10" spans="1:46" s="9" customFormat="1" ht="12" customHeight="1" x14ac:dyDescent="0.25">
      <c r="A10" s="100" t="s">
        <v>13</v>
      </c>
      <c r="B10" s="1"/>
      <c r="C10" s="1"/>
      <c r="D10" s="1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8" t="s">
        <v>14</v>
      </c>
      <c r="X10" s="2"/>
      <c r="Y10" s="1"/>
      <c r="Z10" s="1"/>
      <c r="AA10" s="1"/>
      <c r="AB10" s="1"/>
      <c r="AC10" s="1"/>
      <c r="AD10" s="2"/>
      <c r="AE10" s="1"/>
      <c r="AF10" s="14"/>
      <c r="AG10" s="2"/>
      <c r="AH10" s="2"/>
      <c r="AI10" s="2"/>
      <c r="AJ10" s="2"/>
      <c r="AK10" s="90"/>
      <c r="AL10" s="15" t="s">
        <v>15</v>
      </c>
      <c r="AM10" s="103"/>
      <c r="AT10" s="10"/>
    </row>
    <row r="11" spans="1:46" ht="34.5" customHeight="1" x14ac:dyDescent="0.25">
      <c r="A11" s="368" t="s">
        <v>168</v>
      </c>
      <c r="B11" s="369"/>
      <c r="C11" s="369"/>
      <c r="D11" s="369"/>
      <c r="E11" s="369"/>
      <c r="F11" s="369"/>
      <c r="G11" s="369"/>
      <c r="H11" s="369"/>
      <c r="I11" s="369"/>
      <c r="J11" s="369"/>
      <c r="K11" s="369"/>
      <c r="L11" s="369"/>
      <c r="M11" s="369"/>
      <c r="N11" s="369"/>
      <c r="O11" s="369"/>
      <c r="P11" s="369"/>
      <c r="Q11" s="369"/>
      <c r="R11" s="369"/>
      <c r="S11" s="369"/>
      <c r="T11" s="369"/>
      <c r="U11" s="369"/>
      <c r="V11" s="370"/>
      <c r="W11" s="371" t="s">
        <v>71</v>
      </c>
      <c r="X11" s="363"/>
      <c r="Y11" s="363"/>
      <c r="Z11" s="363"/>
      <c r="AA11" s="363"/>
      <c r="AB11" s="363"/>
      <c r="AC11" s="363"/>
      <c r="AD11" s="363"/>
      <c r="AE11" s="363"/>
      <c r="AF11" s="363"/>
      <c r="AG11" s="363"/>
      <c r="AH11" s="363"/>
      <c r="AI11" s="363"/>
      <c r="AJ11" s="363"/>
      <c r="AK11" s="364"/>
      <c r="AL11" s="372" t="s">
        <v>16</v>
      </c>
      <c r="AM11" s="373"/>
    </row>
    <row r="12" spans="1:46" s="12" customFormat="1" ht="6.75" customHeight="1" x14ac:dyDescent="0.25">
      <c r="A12" s="101"/>
      <c r="B12" s="11"/>
      <c r="C12" s="11"/>
      <c r="D12" s="11"/>
      <c r="E12" s="11"/>
      <c r="F12" s="11"/>
      <c r="G12" s="11"/>
      <c r="H12" s="11"/>
      <c r="I12" s="11"/>
      <c r="J12" s="11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2"/>
      <c r="AL12" s="2"/>
      <c r="AM12" s="98"/>
      <c r="AT12" s="13"/>
    </row>
    <row r="13" spans="1:46" s="9" customFormat="1" ht="12" customHeight="1" x14ac:dyDescent="0.25">
      <c r="A13" s="96" t="s">
        <v>17</v>
      </c>
      <c r="B13" s="2"/>
      <c r="C13" s="2"/>
      <c r="D13" s="2"/>
      <c r="E13" s="1"/>
      <c r="F13" s="1"/>
      <c r="G13" s="1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8" t="s">
        <v>18</v>
      </c>
      <c r="X13" s="2"/>
      <c r="Y13" s="2"/>
      <c r="Z13" s="1"/>
      <c r="AA13" s="2"/>
      <c r="AB13" s="2"/>
      <c r="AC13" s="2"/>
      <c r="AD13" s="2"/>
      <c r="AE13" s="2"/>
      <c r="AF13" s="8" t="s">
        <v>19</v>
      </c>
      <c r="AG13" s="2"/>
      <c r="AH13" s="2"/>
      <c r="AI13" s="1"/>
      <c r="AJ13" s="2"/>
      <c r="AK13" s="2"/>
      <c r="AL13" s="2"/>
      <c r="AM13" s="98"/>
      <c r="AT13" s="10"/>
    </row>
    <row r="14" spans="1:46" s="9" customFormat="1" ht="21" customHeight="1" x14ac:dyDescent="0.25">
      <c r="A14" s="405" t="s">
        <v>177</v>
      </c>
      <c r="B14" s="406"/>
      <c r="C14" s="406"/>
      <c r="D14" s="406"/>
      <c r="E14" s="406"/>
      <c r="F14" s="406"/>
      <c r="G14" s="406"/>
      <c r="H14" s="406"/>
      <c r="I14" s="406"/>
      <c r="J14" s="406"/>
      <c r="K14" s="406"/>
      <c r="L14" s="406"/>
      <c r="M14" s="406"/>
      <c r="N14" s="406"/>
      <c r="O14" s="406"/>
      <c r="P14" s="406"/>
      <c r="Q14" s="406"/>
      <c r="R14" s="406"/>
      <c r="S14" s="406"/>
      <c r="T14" s="406"/>
      <c r="U14" s="406"/>
      <c r="V14" s="407"/>
      <c r="W14" s="408" t="s">
        <v>178</v>
      </c>
      <c r="X14" s="409"/>
      <c r="Y14" s="409"/>
      <c r="Z14" s="409"/>
      <c r="AA14" s="409"/>
      <c r="AB14" s="409"/>
      <c r="AC14" s="409"/>
      <c r="AD14" s="409"/>
      <c r="AE14" s="410"/>
      <c r="AF14" s="411" t="s">
        <v>211</v>
      </c>
      <c r="AG14" s="412"/>
      <c r="AH14" s="412"/>
      <c r="AI14" s="412"/>
      <c r="AJ14" s="412"/>
      <c r="AK14" s="412"/>
      <c r="AL14" s="412"/>
      <c r="AM14" s="413"/>
      <c r="AT14" s="10"/>
    </row>
    <row r="15" spans="1:46" ht="6" customHeight="1" x14ac:dyDescent="0.25">
      <c r="A15" s="104"/>
      <c r="B15" s="85"/>
      <c r="C15" s="85"/>
      <c r="D15" s="85"/>
      <c r="E15" s="85"/>
      <c r="F15" s="85"/>
      <c r="G15" s="85"/>
      <c r="H15" s="85"/>
      <c r="I15" s="85"/>
      <c r="J15" s="85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105"/>
    </row>
    <row r="16" spans="1:46" ht="11.25" customHeight="1" x14ac:dyDescent="0.25">
      <c r="A16" s="106" t="s">
        <v>20</v>
      </c>
      <c r="B16" s="87"/>
      <c r="C16" s="87"/>
      <c r="D16" s="87"/>
      <c r="E16" s="87"/>
      <c r="F16" s="89" t="s">
        <v>130</v>
      </c>
      <c r="G16" s="87"/>
      <c r="H16" s="87"/>
      <c r="I16" s="87"/>
      <c r="J16" s="87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107"/>
      <c r="AN16" s="17" t="b">
        <v>0</v>
      </c>
    </row>
    <row r="17" spans="1:51" ht="6.75" customHeight="1" x14ac:dyDescent="0.25">
      <c r="A17" s="100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98"/>
    </row>
    <row r="18" spans="1:51" ht="12.6" customHeight="1" x14ac:dyDescent="0.25">
      <c r="A18" s="451"/>
      <c r="B18" s="452"/>
      <c r="C18" s="452"/>
      <c r="D18" s="452"/>
      <c r="E18" s="452"/>
      <c r="F18" s="452"/>
      <c r="G18" s="452"/>
      <c r="H18" s="452"/>
      <c r="I18" s="452"/>
      <c r="J18" s="452"/>
      <c r="K18" s="452"/>
      <c r="L18" s="452"/>
      <c r="M18" s="452"/>
      <c r="N18" s="452"/>
      <c r="O18" s="453"/>
      <c r="P18" s="414" t="s">
        <v>21</v>
      </c>
      <c r="Q18" s="415"/>
      <c r="R18" s="415"/>
      <c r="S18" s="415"/>
      <c r="T18" s="415"/>
      <c r="U18" s="415"/>
      <c r="V18" s="415"/>
      <c r="W18" s="415"/>
      <c r="X18" s="418" t="s">
        <v>22</v>
      </c>
      <c r="Y18" s="419"/>
      <c r="Z18" s="419"/>
      <c r="AA18" s="419"/>
      <c r="AB18" s="419"/>
      <c r="AC18" s="419"/>
      <c r="AD18" s="419"/>
      <c r="AE18" s="419"/>
      <c r="AF18" s="419"/>
      <c r="AG18" s="419"/>
      <c r="AH18" s="420"/>
      <c r="AI18" s="424">
        <v>0.23630000000000001</v>
      </c>
      <c r="AJ18" s="425"/>
      <c r="AK18" s="425"/>
      <c r="AL18" s="425"/>
      <c r="AM18" s="426"/>
    </row>
    <row r="19" spans="1:51" ht="12.6" customHeight="1" x14ac:dyDescent="0.25">
      <c r="A19" s="454"/>
      <c r="B19" s="455"/>
      <c r="C19" s="455"/>
      <c r="D19" s="455"/>
      <c r="E19" s="455"/>
      <c r="F19" s="455"/>
      <c r="G19" s="455"/>
      <c r="H19" s="455"/>
      <c r="I19" s="455"/>
      <c r="J19" s="455"/>
      <c r="K19" s="455"/>
      <c r="L19" s="455"/>
      <c r="M19" s="455"/>
      <c r="N19" s="455"/>
      <c r="O19" s="456"/>
      <c r="P19" s="416"/>
      <c r="Q19" s="417"/>
      <c r="R19" s="417"/>
      <c r="S19" s="417"/>
      <c r="T19" s="417"/>
      <c r="U19" s="417"/>
      <c r="V19" s="417"/>
      <c r="W19" s="417"/>
      <c r="X19" s="421"/>
      <c r="Y19" s="422"/>
      <c r="Z19" s="422"/>
      <c r="AA19" s="422"/>
      <c r="AB19" s="422"/>
      <c r="AC19" s="422"/>
      <c r="AD19" s="422"/>
      <c r="AE19" s="422"/>
      <c r="AF19" s="422"/>
      <c r="AG19" s="422"/>
      <c r="AH19" s="423"/>
      <c r="AI19" s="427"/>
      <c r="AJ19" s="428"/>
      <c r="AK19" s="428"/>
      <c r="AL19" s="428"/>
      <c r="AM19" s="429"/>
    </row>
    <row r="20" spans="1:51" ht="17.25" hidden="1" customHeight="1" x14ac:dyDescent="0.25">
      <c r="A20" s="108" t="s">
        <v>23</v>
      </c>
      <c r="B20" s="18"/>
      <c r="C20" s="18"/>
      <c r="D20" s="18"/>
      <c r="E20" s="18"/>
      <c r="F20" s="18"/>
      <c r="G20" s="18"/>
      <c r="H20" s="18"/>
      <c r="I20" s="18"/>
      <c r="J20" s="19" t="s">
        <v>24</v>
      </c>
      <c r="K20" s="384">
        <v>3.2000000000000002E-3</v>
      </c>
      <c r="L20" s="384"/>
      <c r="M20" s="20" t="s">
        <v>25</v>
      </c>
      <c r="N20" s="384">
        <v>7.4000000000000003E-3</v>
      </c>
      <c r="O20" s="385"/>
      <c r="P20" s="21" t="s">
        <v>26</v>
      </c>
      <c r="Q20" s="22"/>
      <c r="R20" s="22"/>
      <c r="S20" s="22"/>
      <c r="T20" s="22"/>
      <c r="U20" s="22"/>
      <c r="V20" s="386">
        <v>7.1999999999999998E-3</v>
      </c>
      <c r="W20" s="387"/>
      <c r="X20" s="374" t="s">
        <v>72</v>
      </c>
      <c r="Y20" s="374"/>
      <c r="Z20" s="374"/>
      <c r="AA20" s="374"/>
      <c r="AB20" s="374"/>
      <c r="AC20" s="374"/>
      <c r="AD20" s="374"/>
      <c r="AE20" s="374"/>
      <c r="AF20" s="374"/>
      <c r="AG20" s="374"/>
      <c r="AH20" s="374"/>
      <c r="AI20" s="374"/>
      <c r="AJ20" s="374"/>
      <c r="AK20" s="374"/>
      <c r="AL20" s="374"/>
      <c r="AM20" s="375"/>
      <c r="AR20" s="4"/>
      <c r="AT20" s="3"/>
    </row>
    <row r="21" spans="1:51" ht="17.25" hidden="1" customHeight="1" x14ac:dyDescent="0.25">
      <c r="A21" s="109" t="s">
        <v>27</v>
      </c>
      <c r="B21" s="23"/>
      <c r="C21" s="23"/>
      <c r="D21" s="23"/>
      <c r="E21" s="23"/>
      <c r="F21" s="23"/>
      <c r="G21" s="23"/>
      <c r="H21" s="23"/>
      <c r="I21" s="23"/>
      <c r="J21" s="24" t="s">
        <v>24</v>
      </c>
      <c r="K21" s="380">
        <v>5.0000000000000001E-3</v>
      </c>
      <c r="L21" s="380"/>
      <c r="M21" s="25" t="s">
        <v>25</v>
      </c>
      <c r="N21" s="380">
        <v>9.7000000000000003E-3</v>
      </c>
      <c r="O21" s="381"/>
      <c r="P21" s="26" t="s">
        <v>28</v>
      </c>
      <c r="Q21" s="27"/>
      <c r="R21" s="27"/>
      <c r="S21" s="27"/>
      <c r="T21" s="27"/>
      <c r="U21" s="27"/>
      <c r="V21" s="382">
        <v>9.5999999999999992E-3</v>
      </c>
      <c r="W21" s="383"/>
      <c r="X21" s="376"/>
      <c r="Y21" s="376"/>
      <c r="Z21" s="376"/>
      <c r="AA21" s="376"/>
      <c r="AB21" s="376"/>
      <c r="AC21" s="376"/>
      <c r="AD21" s="376"/>
      <c r="AE21" s="376"/>
      <c r="AF21" s="376"/>
      <c r="AG21" s="376"/>
      <c r="AH21" s="376"/>
      <c r="AI21" s="376"/>
      <c r="AJ21" s="376"/>
      <c r="AK21" s="376"/>
      <c r="AL21" s="376"/>
      <c r="AM21" s="377"/>
      <c r="AR21" s="4"/>
      <c r="AT21" s="3"/>
    </row>
    <row r="22" spans="1:51" ht="17.25" hidden="1" customHeight="1" x14ac:dyDescent="0.25">
      <c r="A22" s="109" t="s">
        <v>29</v>
      </c>
      <c r="B22" s="23"/>
      <c r="C22" s="23"/>
      <c r="D22" s="23"/>
      <c r="E22" s="23"/>
      <c r="F22" s="23"/>
      <c r="G22" s="23"/>
      <c r="H22" s="23"/>
      <c r="I22" s="23"/>
      <c r="J22" s="24" t="s">
        <v>24</v>
      </c>
      <c r="K22" s="380">
        <v>1.0200000000000001E-2</v>
      </c>
      <c r="L22" s="380"/>
      <c r="M22" s="25" t="s">
        <v>25</v>
      </c>
      <c r="N22" s="380">
        <v>1.21E-2</v>
      </c>
      <c r="O22" s="381"/>
      <c r="P22" s="26" t="s">
        <v>30</v>
      </c>
      <c r="Q22" s="27"/>
      <c r="R22" s="27"/>
      <c r="S22" s="27"/>
      <c r="T22" s="27"/>
      <c r="U22" s="27"/>
      <c r="V22" s="382">
        <v>1.21E-2</v>
      </c>
      <c r="W22" s="383"/>
      <c r="X22" s="376"/>
      <c r="Y22" s="376"/>
      <c r="Z22" s="376"/>
      <c r="AA22" s="376"/>
      <c r="AB22" s="376"/>
      <c r="AC22" s="376"/>
      <c r="AD22" s="376"/>
      <c r="AE22" s="376"/>
      <c r="AF22" s="376"/>
      <c r="AG22" s="376"/>
      <c r="AH22" s="376"/>
      <c r="AI22" s="376"/>
      <c r="AJ22" s="376"/>
      <c r="AK22" s="376"/>
      <c r="AL22" s="376"/>
      <c r="AM22" s="377"/>
      <c r="AR22" s="4"/>
      <c r="AT22" s="3"/>
    </row>
    <row r="23" spans="1:51" ht="17.25" hidden="1" customHeight="1" x14ac:dyDescent="0.25">
      <c r="A23" s="109" t="s">
        <v>31</v>
      </c>
      <c r="B23" s="23"/>
      <c r="C23" s="23"/>
      <c r="D23" s="23"/>
      <c r="E23" s="23"/>
      <c r="F23" s="23"/>
      <c r="G23" s="23"/>
      <c r="H23" s="23"/>
      <c r="I23" s="23"/>
      <c r="J23" s="24" t="s">
        <v>24</v>
      </c>
      <c r="K23" s="380">
        <v>3.7999999999999999E-2</v>
      </c>
      <c r="L23" s="380"/>
      <c r="M23" s="25" t="s">
        <v>25</v>
      </c>
      <c r="N23" s="380">
        <v>4.6699999999999998E-2</v>
      </c>
      <c r="O23" s="381"/>
      <c r="P23" s="26" t="s">
        <v>32</v>
      </c>
      <c r="Q23" s="27"/>
      <c r="R23" s="27"/>
      <c r="S23" s="27"/>
      <c r="T23" s="27"/>
      <c r="U23" s="27"/>
      <c r="V23" s="382">
        <v>4.6699999999999998E-2</v>
      </c>
      <c r="W23" s="383"/>
      <c r="X23" s="376"/>
      <c r="Y23" s="376"/>
      <c r="Z23" s="376"/>
      <c r="AA23" s="376"/>
      <c r="AB23" s="376"/>
      <c r="AC23" s="376"/>
      <c r="AD23" s="376"/>
      <c r="AE23" s="376"/>
      <c r="AF23" s="376"/>
      <c r="AG23" s="376"/>
      <c r="AH23" s="376"/>
      <c r="AI23" s="376"/>
      <c r="AJ23" s="376"/>
      <c r="AK23" s="376"/>
      <c r="AL23" s="376"/>
      <c r="AM23" s="377"/>
      <c r="AR23" s="4"/>
      <c r="AT23" s="3"/>
    </row>
    <row r="24" spans="1:51" ht="17.25" hidden="1" customHeight="1" x14ac:dyDescent="0.25">
      <c r="A24" s="109" t="s">
        <v>33</v>
      </c>
      <c r="B24" s="23"/>
      <c r="C24" s="23"/>
      <c r="D24" s="23"/>
      <c r="E24" s="23"/>
      <c r="F24" s="23"/>
      <c r="G24" s="23"/>
      <c r="H24" s="23"/>
      <c r="I24" s="23"/>
      <c r="J24" s="24" t="s">
        <v>24</v>
      </c>
      <c r="K24" s="380">
        <v>6.6400000000000001E-2</v>
      </c>
      <c r="L24" s="380"/>
      <c r="M24" s="25" t="s">
        <v>25</v>
      </c>
      <c r="N24" s="380">
        <v>8.6900000000000005E-2</v>
      </c>
      <c r="O24" s="381"/>
      <c r="P24" s="26" t="s">
        <v>34</v>
      </c>
      <c r="Q24" s="27"/>
      <c r="R24" s="27"/>
      <c r="S24" s="27"/>
      <c r="T24" s="27"/>
      <c r="U24" s="27"/>
      <c r="V24" s="382">
        <v>8.6900000000000005E-2</v>
      </c>
      <c r="W24" s="383"/>
      <c r="X24" s="376"/>
      <c r="Y24" s="376"/>
      <c r="Z24" s="376"/>
      <c r="AA24" s="376"/>
      <c r="AB24" s="376"/>
      <c r="AC24" s="376"/>
      <c r="AD24" s="376"/>
      <c r="AE24" s="376"/>
      <c r="AF24" s="376"/>
      <c r="AG24" s="376"/>
      <c r="AH24" s="376"/>
      <c r="AI24" s="376"/>
      <c r="AJ24" s="376"/>
      <c r="AK24" s="376"/>
      <c r="AL24" s="376"/>
      <c r="AM24" s="377"/>
      <c r="AT24" s="3"/>
    </row>
    <row r="25" spans="1:51" ht="17.25" hidden="1" customHeight="1" x14ac:dyDescent="0.25">
      <c r="A25" s="110" t="s">
        <v>35</v>
      </c>
      <c r="B25" s="28"/>
      <c r="C25" s="54" t="s">
        <v>45</v>
      </c>
      <c r="D25" s="54" t="s">
        <v>48</v>
      </c>
      <c r="E25" s="29" t="s">
        <v>49</v>
      </c>
      <c r="F25" s="55">
        <v>0.02</v>
      </c>
      <c r="G25" s="28"/>
      <c r="H25" s="28"/>
      <c r="I25" s="28"/>
      <c r="J25" s="400">
        <v>7.6499999999999999E-2</v>
      </c>
      <c r="K25" s="401"/>
      <c r="L25" s="401"/>
      <c r="M25" s="401"/>
      <c r="N25" s="401"/>
      <c r="O25" s="402"/>
      <c r="P25" s="30" t="s">
        <v>36</v>
      </c>
      <c r="Q25" s="31"/>
      <c r="R25" s="31"/>
      <c r="S25" s="31"/>
      <c r="T25" s="31"/>
      <c r="U25" s="31"/>
      <c r="V25" s="403">
        <v>7.6499999999999999E-2</v>
      </c>
      <c r="W25" s="404"/>
      <c r="X25" s="378"/>
      <c r="Y25" s="378"/>
      <c r="Z25" s="378"/>
      <c r="AA25" s="378"/>
      <c r="AB25" s="378"/>
      <c r="AC25" s="378"/>
      <c r="AD25" s="378"/>
      <c r="AE25" s="378"/>
      <c r="AF25" s="378"/>
      <c r="AG25" s="378"/>
      <c r="AH25" s="378"/>
      <c r="AI25" s="378"/>
      <c r="AJ25" s="378"/>
      <c r="AK25" s="378"/>
      <c r="AL25" s="378"/>
      <c r="AM25" s="379"/>
      <c r="AT25" s="3"/>
    </row>
    <row r="26" spans="1:51" ht="6" customHeight="1" x14ac:dyDescent="0.25">
      <c r="A26" s="100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98"/>
    </row>
    <row r="27" spans="1:51" ht="12" customHeight="1" x14ac:dyDescent="0.25">
      <c r="A27" s="430" t="s">
        <v>0</v>
      </c>
      <c r="B27" s="32"/>
      <c r="C27" s="33"/>
      <c r="D27" s="34"/>
      <c r="E27" s="33"/>
      <c r="F27" s="414" t="s">
        <v>37</v>
      </c>
      <c r="G27" s="415"/>
      <c r="H27" s="415"/>
      <c r="I27" s="415"/>
      <c r="J27" s="415"/>
      <c r="K27" s="415"/>
      <c r="L27" s="415"/>
      <c r="M27" s="415"/>
      <c r="N27" s="415"/>
      <c r="O27" s="415"/>
      <c r="P27" s="415"/>
      <c r="Q27" s="415"/>
      <c r="R27" s="433"/>
      <c r="S27" s="438" t="s">
        <v>38</v>
      </c>
      <c r="T27" s="439"/>
      <c r="U27" s="442" t="s">
        <v>39</v>
      </c>
      <c r="V27" s="443"/>
      <c r="W27" s="444"/>
      <c r="X27" s="391" t="s">
        <v>40</v>
      </c>
      <c r="Y27" s="392"/>
      <c r="Z27" s="392"/>
      <c r="AA27" s="392"/>
      <c r="AB27" s="392"/>
      <c r="AC27" s="392"/>
      <c r="AD27" s="392"/>
      <c r="AE27" s="392"/>
      <c r="AF27" s="392"/>
      <c r="AG27" s="392"/>
      <c r="AH27" s="392"/>
      <c r="AI27" s="392"/>
      <c r="AJ27" s="392"/>
      <c r="AK27" s="392"/>
      <c r="AL27" s="392"/>
      <c r="AM27" s="394"/>
      <c r="AR27" s="388" t="s">
        <v>41</v>
      </c>
      <c r="AS27" s="388"/>
    </row>
    <row r="28" spans="1:51" ht="12" customHeight="1" x14ac:dyDescent="0.25">
      <c r="A28" s="431"/>
      <c r="B28" s="36" t="s">
        <v>1</v>
      </c>
      <c r="C28" s="37"/>
      <c r="D28" s="389" t="s">
        <v>42</v>
      </c>
      <c r="E28" s="390"/>
      <c r="F28" s="434"/>
      <c r="G28" s="435"/>
      <c r="H28" s="435"/>
      <c r="I28" s="435"/>
      <c r="J28" s="435"/>
      <c r="K28" s="435"/>
      <c r="L28" s="435"/>
      <c r="M28" s="435"/>
      <c r="N28" s="435"/>
      <c r="O28" s="435"/>
      <c r="P28" s="435"/>
      <c r="Q28" s="435"/>
      <c r="R28" s="436"/>
      <c r="S28" s="440"/>
      <c r="T28" s="441"/>
      <c r="U28" s="445"/>
      <c r="V28" s="446"/>
      <c r="W28" s="447"/>
      <c r="X28" s="391" t="s">
        <v>43</v>
      </c>
      <c r="Y28" s="392"/>
      <c r="Z28" s="392"/>
      <c r="AA28" s="392"/>
      <c r="AB28" s="392"/>
      <c r="AC28" s="392"/>
      <c r="AD28" s="392"/>
      <c r="AE28" s="393" t="s">
        <v>44</v>
      </c>
      <c r="AF28" s="392"/>
      <c r="AG28" s="392"/>
      <c r="AH28" s="392"/>
      <c r="AI28" s="392"/>
      <c r="AJ28" s="392"/>
      <c r="AK28" s="392"/>
      <c r="AL28" s="392"/>
      <c r="AM28" s="394"/>
      <c r="AR28" s="35" t="s">
        <v>45</v>
      </c>
      <c r="AS28" s="38">
        <v>0.02</v>
      </c>
    </row>
    <row r="29" spans="1:51" ht="12" customHeight="1" x14ac:dyDescent="0.25">
      <c r="A29" s="432"/>
      <c r="B29" s="39"/>
      <c r="C29" s="40"/>
      <c r="D29" s="41"/>
      <c r="E29" s="40"/>
      <c r="F29" s="416"/>
      <c r="G29" s="417"/>
      <c r="H29" s="417"/>
      <c r="I29" s="417"/>
      <c r="J29" s="417"/>
      <c r="K29" s="417"/>
      <c r="L29" s="417"/>
      <c r="M29" s="417"/>
      <c r="N29" s="417"/>
      <c r="O29" s="417"/>
      <c r="P29" s="417"/>
      <c r="Q29" s="417"/>
      <c r="R29" s="437"/>
      <c r="S29" s="395"/>
      <c r="T29" s="397"/>
      <c r="U29" s="448"/>
      <c r="V29" s="449"/>
      <c r="W29" s="450"/>
      <c r="X29" s="395" t="s">
        <v>46</v>
      </c>
      <c r="Y29" s="396"/>
      <c r="Z29" s="397"/>
      <c r="AA29" s="395" t="s">
        <v>47</v>
      </c>
      <c r="AB29" s="396"/>
      <c r="AC29" s="396"/>
      <c r="AD29" s="396"/>
      <c r="AE29" s="398" t="s">
        <v>46</v>
      </c>
      <c r="AF29" s="396"/>
      <c r="AG29" s="397"/>
      <c r="AH29" s="395" t="s">
        <v>47</v>
      </c>
      <c r="AI29" s="396"/>
      <c r="AJ29" s="396"/>
      <c r="AK29" s="396"/>
      <c r="AL29" s="396"/>
      <c r="AM29" s="399"/>
      <c r="AR29" s="35" t="s">
        <v>48</v>
      </c>
      <c r="AS29" s="38">
        <v>6.4999999999999997E-3</v>
      </c>
    </row>
    <row r="30" spans="1:51" ht="21" x14ac:dyDescent="0.25">
      <c r="A30" s="118">
        <v>1</v>
      </c>
      <c r="B30" s="334"/>
      <c r="C30" s="335"/>
      <c r="D30" s="334"/>
      <c r="E30" s="335"/>
      <c r="F30" s="336" t="s">
        <v>64</v>
      </c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37"/>
      <c r="R30" s="338"/>
      <c r="S30" s="339"/>
      <c r="T30" s="340"/>
      <c r="U30" s="316"/>
      <c r="V30" s="317"/>
      <c r="W30" s="318"/>
      <c r="X30" s="341"/>
      <c r="Y30" s="342"/>
      <c r="Z30" s="343"/>
      <c r="AA30" s="344" t="str">
        <f>IF(S30="","",ROUND(U30*X30,2))</f>
        <v/>
      </c>
      <c r="AB30" s="345"/>
      <c r="AC30" s="345"/>
      <c r="AD30" s="346"/>
      <c r="AE30" s="349" t="str">
        <f>IF(S30="","",ROUND(X30*(1+$AI$18),2))</f>
        <v/>
      </c>
      <c r="AF30" s="350"/>
      <c r="AG30" s="350"/>
      <c r="AH30" s="350" t="str">
        <f>IF(S30="","",ROUND(U30*AE30,2))</f>
        <v/>
      </c>
      <c r="AI30" s="350"/>
      <c r="AJ30" s="350"/>
      <c r="AK30" s="350"/>
      <c r="AL30" s="350"/>
      <c r="AM30" s="351"/>
      <c r="AR30" s="35" t="s">
        <v>49</v>
      </c>
      <c r="AS30" s="38">
        <v>0.03</v>
      </c>
      <c r="AU30" s="9"/>
      <c r="AV30" s="9"/>
      <c r="AW30" s="301"/>
      <c r="AX30" s="301"/>
      <c r="AY30" s="301"/>
    </row>
    <row r="31" spans="1:51" ht="70.05" customHeight="1" x14ac:dyDescent="0.25">
      <c r="A31" s="112" t="s">
        <v>225</v>
      </c>
      <c r="B31" s="248">
        <v>103689</v>
      </c>
      <c r="C31" s="249"/>
      <c r="D31" s="230" t="s">
        <v>50</v>
      </c>
      <c r="E31" s="231"/>
      <c r="F31" s="352" t="s">
        <v>226</v>
      </c>
      <c r="G31" s="353"/>
      <c r="H31" s="353"/>
      <c r="I31" s="353"/>
      <c r="J31" s="353"/>
      <c r="K31" s="353"/>
      <c r="L31" s="353"/>
      <c r="M31" s="353"/>
      <c r="N31" s="353"/>
      <c r="O31" s="353"/>
      <c r="P31" s="353"/>
      <c r="Q31" s="353"/>
      <c r="R31" s="354"/>
      <c r="S31" s="235" t="s">
        <v>8</v>
      </c>
      <c r="T31" s="236"/>
      <c r="U31" s="237">
        <v>4.5</v>
      </c>
      <c r="V31" s="238"/>
      <c r="W31" s="239"/>
      <c r="X31" s="271">
        <v>307.76</v>
      </c>
      <c r="Y31" s="272"/>
      <c r="Z31" s="273"/>
      <c r="AA31" s="242">
        <f t="shared" ref="AA31:AA35" si="0">ROUND(X31*U31,2)</f>
        <v>1384.92</v>
      </c>
      <c r="AB31" s="243"/>
      <c r="AC31" s="243"/>
      <c r="AD31" s="244"/>
      <c r="AE31" s="245">
        <f>ROUND(X31*(1+AI$18),2)</f>
        <v>380.48</v>
      </c>
      <c r="AF31" s="246"/>
      <c r="AG31" s="246"/>
      <c r="AH31" s="246">
        <f t="shared" ref="AH31:AH35" si="1">ROUND(AE31*U31,2)</f>
        <v>1712.16</v>
      </c>
      <c r="AI31" s="246"/>
      <c r="AJ31" s="246"/>
      <c r="AK31" s="246"/>
      <c r="AL31" s="246"/>
      <c r="AM31" s="247"/>
      <c r="AP31" s="42"/>
      <c r="AU31" s="9"/>
      <c r="AV31" s="9"/>
      <c r="AW31" s="301"/>
      <c r="AX31" s="301"/>
      <c r="AY31" s="301"/>
    </row>
    <row r="32" spans="1:51" s="52" customFormat="1" ht="50.1" customHeight="1" x14ac:dyDescent="0.25">
      <c r="A32" s="112" t="s">
        <v>160</v>
      </c>
      <c r="B32" s="248">
        <v>98525</v>
      </c>
      <c r="C32" s="249"/>
      <c r="D32" s="230" t="s">
        <v>50</v>
      </c>
      <c r="E32" s="231"/>
      <c r="F32" s="270" t="s">
        <v>227</v>
      </c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4"/>
      <c r="S32" s="235" t="s">
        <v>159</v>
      </c>
      <c r="T32" s="236"/>
      <c r="U32" s="237">
        <v>6278</v>
      </c>
      <c r="V32" s="238"/>
      <c r="W32" s="239"/>
      <c r="X32" s="271">
        <v>0.41</v>
      </c>
      <c r="Y32" s="272"/>
      <c r="Z32" s="273"/>
      <c r="AA32" s="242">
        <f t="shared" si="0"/>
        <v>2573.98</v>
      </c>
      <c r="AB32" s="243"/>
      <c r="AC32" s="243"/>
      <c r="AD32" s="244"/>
      <c r="AE32" s="245">
        <f>ROUND(X32*(1+AI$18),2)</f>
        <v>0.51</v>
      </c>
      <c r="AF32" s="246"/>
      <c r="AG32" s="246"/>
      <c r="AH32" s="246">
        <f t="shared" si="1"/>
        <v>3201.78</v>
      </c>
      <c r="AI32" s="246"/>
      <c r="AJ32" s="246"/>
      <c r="AK32" s="246"/>
      <c r="AL32" s="246"/>
      <c r="AM32" s="247"/>
      <c r="AP32" s="42"/>
      <c r="AT32" s="4"/>
      <c r="AU32" s="9"/>
      <c r="AV32" s="9"/>
      <c r="AW32" s="176"/>
      <c r="AX32" s="176"/>
      <c r="AY32" s="176"/>
    </row>
    <row r="33" spans="1:51" s="52" customFormat="1" ht="50.1" customHeight="1" x14ac:dyDescent="0.25">
      <c r="A33" s="112" t="s">
        <v>169</v>
      </c>
      <c r="B33" s="248" t="s">
        <v>172</v>
      </c>
      <c r="C33" s="249"/>
      <c r="D33" s="230" t="s">
        <v>132</v>
      </c>
      <c r="E33" s="231"/>
      <c r="F33" s="270" t="s">
        <v>171</v>
      </c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4"/>
      <c r="S33" s="235" t="s">
        <v>159</v>
      </c>
      <c r="T33" s="236"/>
      <c r="U33" s="237">
        <v>56.3</v>
      </c>
      <c r="V33" s="238"/>
      <c r="W33" s="239"/>
      <c r="X33" s="271">
        <v>10.3</v>
      </c>
      <c r="Y33" s="272"/>
      <c r="Z33" s="273"/>
      <c r="AA33" s="242">
        <f t="shared" si="0"/>
        <v>579.89</v>
      </c>
      <c r="AB33" s="243"/>
      <c r="AC33" s="243"/>
      <c r="AD33" s="244"/>
      <c r="AE33" s="245">
        <f>ROUND(X33*(1+AI$18),2)</f>
        <v>12.73</v>
      </c>
      <c r="AF33" s="246"/>
      <c r="AG33" s="246"/>
      <c r="AH33" s="246">
        <f t="shared" si="1"/>
        <v>716.7</v>
      </c>
      <c r="AI33" s="246"/>
      <c r="AJ33" s="246"/>
      <c r="AK33" s="246"/>
      <c r="AL33" s="246"/>
      <c r="AM33" s="247"/>
      <c r="AP33" s="42"/>
      <c r="AT33" s="4"/>
      <c r="AU33" s="9"/>
      <c r="AV33" s="9"/>
      <c r="AW33" s="178"/>
      <c r="AX33" s="178"/>
      <c r="AY33" s="178"/>
    </row>
    <row r="34" spans="1:51" s="52" customFormat="1" ht="50.1" customHeight="1" x14ac:dyDescent="0.25">
      <c r="A34" s="112" t="s">
        <v>170</v>
      </c>
      <c r="B34" s="248" t="s">
        <v>174</v>
      </c>
      <c r="C34" s="249"/>
      <c r="D34" s="230" t="s">
        <v>132</v>
      </c>
      <c r="E34" s="231"/>
      <c r="F34" s="270" t="s">
        <v>173</v>
      </c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4"/>
      <c r="S34" s="235" t="s">
        <v>158</v>
      </c>
      <c r="T34" s="236"/>
      <c r="U34" s="237">
        <v>28.95</v>
      </c>
      <c r="V34" s="238"/>
      <c r="W34" s="239"/>
      <c r="X34" s="271">
        <v>11</v>
      </c>
      <c r="Y34" s="272"/>
      <c r="Z34" s="273"/>
      <c r="AA34" s="242">
        <f t="shared" si="0"/>
        <v>318.45</v>
      </c>
      <c r="AB34" s="243"/>
      <c r="AC34" s="243"/>
      <c r="AD34" s="244"/>
      <c r="AE34" s="245">
        <f>ROUND(X34*(1+AI$18),2)</f>
        <v>13.6</v>
      </c>
      <c r="AF34" s="246"/>
      <c r="AG34" s="246"/>
      <c r="AH34" s="246">
        <f t="shared" si="1"/>
        <v>393.72</v>
      </c>
      <c r="AI34" s="246"/>
      <c r="AJ34" s="246"/>
      <c r="AK34" s="246"/>
      <c r="AL34" s="246"/>
      <c r="AM34" s="247"/>
      <c r="AP34" s="42"/>
      <c r="AT34" s="4"/>
      <c r="AU34" s="9"/>
      <c r="AV34" s="9"/>
      <c r="AW34" s="178"/>
      <c r="AX34" s="178"/>
      <c r="AY34" s="178"/>
    </row>
    <row r="35" spans="1:51" s="52" customFormat="1" ht="50.1" customHeight="1" x14ac:dyDescent="0.25">
      <c r="A35" s="112" t="s">
        <v>175</v>
      </c>
      <c r="B35" s="248">
        <v>97633</v>
      </c>
      <c r="C35" s="249"/>
      <c r="D35" s="230" t="s">
        <v>50</v>
      </c>
      <c r="E35" s="231"/>
      <c r="F35" s="270" t="s">
        <v>179</v>
      </c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4"/>
      <c r="S35" s="235" t="s">
        <v>159</v>
      </c>
      <c r="T35" s="236"/>
      <c r="U35" s="237">
        <v>93.42</v>
      </c>
      <c r="V35" s="238"/>
      <c r="W35" s="239"/>
      <c r="X35" s="271">
        <v>21.64</v>
      </c>
      <c r="Y35" s="272"/>
      <c r="Z35" s="273"/>
      <c r="AA35" s="242">
        <f t="shared" si="0"/>
        <v>2021.61</v>
      </c>
      <c r="AB35" s="243"/>
      <c r="AC35" s="243"/>
      <c r="AD35" s="244"/>
      <c r="AE35" s="245">
        <f>ROUND(X35*(1+AI$18),2)</f>
        <v>26.75</v>
      </c>
      <c r="AF35" s="246"/>
      <c r="AG35" s="246"/>
      <c r="AH35" s="246">
        <f t="shared" si="1"/>
        <v>2498.9899999999998</v>
      </c>
      <c r="AI35" s="246"/>
      <c r="AJ35" s="246"/>
      <c r="AK35" s="246"/>
      <c r="AL35" s="246"/>
      <c r="AM35" s="247"/>
      <c r="AP35" s="42"/>
      <c r="AT35" s="4"/>
      <c r="AU35" s="9"/>
      <c r="AV35" s="9"/>
      <c r="AW35" s="179"/>
      <c r="AX35" s="179"/>
      <c r="AY35" s="179"/>
    </row>
    <row r="36" spans="1:51" s="52" customFormat="1" ht="50.1" customHeight="1" x14ac:dyDescent="0.25">
      <c r="A36" s="112"/>
      <c r="B36" s="248"/>
      <c r="C36" s="249"/>
      <c r="D36" s="230"/>
      <c r="E36" s="231"/>
      <c r="F36" s="270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4"/>
      <c r="S36" s="235"/>
      <c r="T36" s="236"/>
      <c r="U36" s="237"/>
      <c r="V36" s="238"/>
      <c r="W36" s="239"/>
      <c r="X36" s="271"/>
      <c r="Y36" s="272"/>
      <c r="Z36" s="273"/>
      <c r="AA36" s="242"/>
      <c r="AB36" s="243"/>
      <c r="AC36" s="243"/>
      <c r="AD36" s="244"/>
      <c r="AE36" s="245"/>
      <c r="AF36" s="246"/>
      <c r="AG36" s="246"/>
      <c r="AH36" s="246"/>
      <c r="AI36" s="246"/>
      <c r="AJ36" s="246"/>
      <c r="AK36" s="246"/>
      <c r="AL36" s="246"/>
      <c r="AM36" s="247"/>
      <c r="AP36" s="42"/>
      <c r="AT36" s="4"/>
      <c r="AU36" s="9"/>
      <c r="AV36" s="9"/>
      <c r="AW36" s="178"/>
      <c r="AX36" s="178"/>
      <c r="AY36" s="178"/>
    </row>
    <row r="37" spans="1:51" ht="50.1" customHeight="1" x14ac:dyDescent="0.25">
      <c r="A37" s="111"/>
      <c r="B37" s="181"/>
      <c r="C37" s="182"/>
      <c r="D37" s="181"/>
      <c r="E37" s="182"/>
      <c r="F37" s="296" t="s">
        <v>51</v>
      </c>
      <c r="G37" s="297"/>
      <c r="H37" s="297"/>
      <c r="I37" s="297"/>
      <c r="J37" s="297"/>
      <c r="K37" s="297"/>
      <c r="L37" s="297"/>
      <c r="M37" s="297"/>
      <c r="N37" s="297"/>
      <c r="O37" s="297"/>
      <c r="P37" s="297"/>
      <c r="Q37" s="297"/>
      <c r="R37" s="298"/>
      <c r="S37" s="183"/>
      <c r="T37" s="184"/>
      <c r="U37" s="185"/>
      <c r="V37" s="186"/>
      <c r="W37" s="187"/>
      <c r="X37" s="347"/>
      <c r="Y37" s="348"/>
      <c r="Z37" s="348"/>
      <c r="AA37" s="306">
        <f>SUM(AA31:AD36)</f>
        <v>6878.8499999999995</v>
      </c>
      <c r="AB37" s="307"/>
      <c r="AC37" s="307"/>
      <c r="AD37" s="308"/>
      <c r="AE37" s="245"/>
      <c r="AF37" s="246"/>
      <c r="AG37" s="246"/>
      <c r="AH37" s="302">
        <f>SUM(AH31:AN36)</f>
        <v>8523.35</v>
      </c>
      <c r="AI37" s="303"/>
      <c r="AJ37" s="303"/>
      <c r="AK37" s="303"/>
      <c r="AL37" s="303"/>
      <c r="AM37" s="304"/>
      <c r="AP37" s="42"/>
      <c r="AU37" s="9"/>
      <c r="AV37" s="9"/>
      <c r="AW37" s="459"/>
      <c r="AX37" s="459"/>
      <c r="AY37" s="459"/>
    </row>
    <row r="38" spans="1:51" ht="50.1" customHeight="1" x14ac:dyDescent="0.25">
      <c r="A38" s="117">
        <v>2</v>
      </c>
      <c r="B38" s="287"/>
      <c r="C38" s="288"/>
      <c r="D38" s="289"/>
      <c r="E38" s="290"/>
      <c r="F38" s="291" t="s">
        <v>146</v>
      </c>
      <c r="G38" s="292"/>
      <c r="H38" s="292"/>
      <c r="I38" s="292"/>
      <c r="J38" s="292"/>
      <c r="K38" s="292"/>
      <c r="L38" s="292"/>
      <c r="M38" s="292"/>
      <c r="N38" s="292"/>
      <c r="O38" s="292"/>
      <c r="P38" s="292"/>
      <c r="Q38" s="292"/>
      <c r="R38" s="293"/>
      <c r="S38" s="294"/>
      <c r="T38" s="295"/>
      <c r="U38" s="316"/>
      <c r="V38" s="317"/>
      <c r="W38" s="318"/>
      <c r="X38" s="276"/>
      <c r="Y38" s="277"/>
      <c r="Z38" s="278"/>
      <c r="AA38" s="279"/>
      <c r="AB38" s="280"/>
      <c r="AC38" s="280"/>
      <c r="AD38" s="281"/>
      <c r="AE38" s="309"/>
      <c r="AF38" s="310"/>
      <c r="AG38" s="310"/>
      <c r="AH38" s="310"/>
      <c r="AI38" s="310"/>
      <c r="AJ38" s="310"/>
      <c r="AK38" s="310"/>
      <c r="AL38" s="310"/>
      <c r="AM38" s="311"/>
      <c r="AP38" s="48"/>
      <c r="AU38" s="9"/>
      <c r="AV38" s="9"/>
      <c r="AW38" s="457"/>
      <c r="AX38" s="457"/>
      <c r="AY38" s="457"/>
    </row>
    <row r="39" spans="1:51" ht="50.1" customHeight="1" x14ac:dyDescent="0.25">
      <c r="A39" s="112" t="s">
        <v>2</v>
      </c>
      <c r="B39" s="248">
        <v>100576</v>
      </c>
      <c r="C39" s="249"/>
      <c r="D39" s="230" t="s">
        <v>50</v>
      </c>
      <c r="E39" s="231"/>
      <c r="F39" s="232" t="s">
        <v>212</v>
      </c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4"/>
      <c r="S39" s="235" t="s">
        <v>8</v>
      </c>
      <c r="T39" s="236"/>
      <c r="U39" s="237">
        <v>1978</v>
      </c>
      <c r="V39" s="238"/>
      <c r="W39" s="239"/>
      <c r="X39" s="240">
        <v>2.57</v>
      </c>
      <c r="Y39" s="241"/>
      <c r="Z39" s="241"/>
      <c r="AA39" s="242">
        <f t="shared" ref="AA39:AA46" si="2">ROUND(X39*U39,2)</f>
        <v>5083.46</v>
      </c>
      <c r="AB39" s="243"/>
      <c r="AC39" s="243"/>
      <c r="AD39" s="244"/>
      <c r="AE39" s="245">
        <f>ROUND(X39*(1+AI$18),2)</f>
        <v>3.18</v>
      </c>
      <c r="AF39" s="246"/>
      <c r="AG39" s="246"/>
      <c r="AH39" s="246">
        <f>U39*AE39</f>
        <v>6290.04</v>
      </c>
      <c r="AI39" s="246"/>
      <c r="AJ39" s="246"/>
      <c r="AK39" s="246"/>
      <c r="AL39" s="246"/>
      <c r="AM39" s="247"/>
      <c r="AP39" s="50"/>
      <c r="AS39" s="42"/>
      <c r="AU39" s="9"/>
      <c r="AV39" s="9"/>
      <c r="AW39" s="301"/>
      <c r="AX39" s="301"/>
      <c r="AY39" s="301"/>
    </row>
    <row r="40" spans="1:51" s="52" customFormat="1" ht="50.1" customHeight="1" x14ac:dyDescent="0.25">
      <c r="A40" s="112" t="s">
        <v>4</v>
      </c>
      <c r="B40" s="248">
        <v>100573</v>
      </c>
      <c r="C40" s="249"/>
      <c r="D40" s="230" t="s">
        <v>50</v>
      </c>
      <c r="E40" s="231"/>
      <c r="F40" s="232" t="s">
        <v>152</v>
      </c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4"/>
      <c r="S40" s="235" t="s">
        <v>150</v>
      </c>
      <c r="T40" s="236"/>
      <c r="U40" s="237">
        <v>314.7</v>
      </c>
      <c r="V40" s="238"/>
      <c r="W40" s="239"/>
      <c r="X40" s="240">
        <v>109.9</v>
      </c>
      <c r="Y40" s="241"/>
      <c r="Z40" s="241"/>
      <c r="AA40" s="242">
        <f t="shared" ref="AA40" si="3">ROUND(X40*U40,2)</f>
        <v>34585.53</v>
      </c>
      <c r="AB40" s="243"/>
      <c r="AC40" s="243"/>
      <c r="AD40" s="244"/>
      <c r="AE40" s="245">
        <f t="shared" ref="AE40:AE46" si="4">ROUND(X40*(1+AI$18),2)</f>
        <v>135.87</v>
      </c>
      <c r="AF40" s="246"/>
      <c r="AG40" s="246"/>
      <c r="AH40" s="246">
        <f>U40*AE40</f>
        <v>42758.288999999997</v>
      </c>
      <c r="AI40" s="246"/>
      <c r="AJ40" s="246"/>
      <c r="AK40" s="246"/>
      <c r="AL40" s="246"/>
      <c r="AM40" s="247"/>
      <c r="AP40" s="50"/>
      <c r="AS40" s="42"/>
      <c r="AT40" s="4"/>
      <c r="AU40" s="9"/>
      <c r="AV40" s="9"/>
      <c r="AW40" s="132"/>
      <c r="AX40" s="132"/>
      <c r="AY40" s="132"/>
    </row>
    <row r="41" spans="1:51" s="52" customFormat="1" ht="50.1" customHeight="1" x14ac:dyDescent="0.25">
      <c r="A41" s="112" t="s">
        <v>9</v>
      </c>
      <c r="B41" s="248">
        <v>95876</v>
      </c>
      <c r="C41" s="249"/>
      <c r="D41" s="230" t="s">
        <v>50</v>
      </c>
      <c r="E41" s="231"/>
      <c r="F41" s="232" t="s">
        <v>259</v>
      </c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4"/>
      <c r="S41" s="274" t="s">
        <v>151</v>
      </c>
      <c r="T41" s="275"/>
      <c r="U41" s="237">
        <v>881.16</v>
      </c>
      <c r="V41" s="238"/>
      <c r="W41" s="239"/>
      <c r="X41" s="240">
        <v>2.08</v>
      </c>
      <c r="Y41" s="241"/>
      <c r="Z41" s="241"/>
      <c r="AA41" s="242">
        <f t="shared" ref="AA41" si="5">ROUND(X41*U41,2)</f>
        <v>1832.81</v>
      </c>
      <c r="AB41" s="243"/>
      <c r="AC41" s="243"/>
      <c r="AD41" s="244"/>
      <c r="AE41" s="245">
        <f t="shared" si="4"/>
        <v>2.57</v>
      </c>
      <c r="AF41" s="246"/>
      <c r="AG41" s="246"/>
      <c r="AH41" s="246">
        <f>U41*AE41</f>
        <v>2264.5811999999996</v>
      </c>
      <c r="AI41" s="246"/>
      <c r="AJ41" s="246"/>
      <c r="AK41" s="246"/>
      <c r="AL41" s="246"/>
      <c r="AM41" s="247"/>
      <c r="AP41" s="50"/>
      <c r="AS41" s="42"/>
      <c r="AT41" s="4"/>
      <c r="AU41" s="9"/>
      <c r="AV41" s="9"/>
      <c r="AW41" s="132"/>
      <c r="AX41" s="132"/>
      <c r="AY41" s="132"/>
    </row>
    <row r="42" spans="1:51" ht="50.1" customHeight="1" x14ac:dyDescent="0.25">
      <c r="A42" s="112" t="s">
        <v>65</v>
      </c>
      <c r="B42" s="248" t="s">
        <v>197</v>
      </c>
      <c r="C42" s="249"/>
      <c r="D42" s="230" t="s">
        <v>132</v>
      </c>
      <c r="E42" s="231"/>
      <c r="F42" s="232" t="s">
        <v>183</v>
      </c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4"/>
      <c r="S42" s="235" t="s">
        <v>8</v>
      </c>
      <c r="T42" s="236"/>
      <c r="U42" s="237">
        <v>1978</v>
      </c>
      <c r="V42" s="238"/>
      <c r="W42" s="239"/>
      <c r="X42" s="253">
        <v>3.81</v>
      </c>
      <c r="Y42" s="241"/>
      <c r="Z42" s="241"/>
      <c r="AA42" s="242">
        <f t="shared" si="2"/>
        <v>7536.18</v>
      </c>
      <c r="AB42" s="243"/>
      <c r="AC42" s="243"/>
      <c r="AD42" s="244"/>
      <c r="AE42" s="245">
        <f t="shared" si="4"/>
        <v>4.71</v>
      </c>
      <c r="AF42" s="246"/>
      <c r="AG42" s="246"/>
      <c r="AH42" s="246">
        <f>U42*AE42</f>
        <v>9316.3799999999992</v>
      </c>
      <c r="AI42" s="246"/>
      <c r="AJ42" s="246"/>
      <c r="AK42" s="246"/>
      <c r="AL42" s="246"/>
      <c r="AM42" s="247"/>
      <c r="AU42" s="9"/>
      <c r="AV42" s="9"/>
      <c r="AW42" s="301"/>
      <c r="AX42" s="301"/>
      <c r="AY42" s="301"/>
    </row>
    <row r="43" spans="1:51" s="52" customFormat="1" ht="50.1" customHeight="1" x14ac:dyDescent="0.25">
      <c r="A43" s="112" t="s">
        <v>66</v>
      </c>
      <c r="B43" s="248">
        <v>102330</v>
      </c>
      <c r="C43" s="249"/>
      <c r="D43" s="230" t="s">
        <v>50</v>
      </c>
      <c r="E43" s="231"/>
      <c r="F43" s="282" t="s">
        <v>260</v>
      </c>
      <c r="G43" s="283"/>
      <c r="H43" s="283"/>
      <c r="I43" s="283"/>
      <c r="J43" s="283"/>
      <c r="K43" s="283"/>
      <c r="L43" s="283"/>
      <c r="M43" s="283"/>
      <c r="N43" s="283"/>
      <c r="O43" s="283"/>
      <c r="P43" s="283"/>
      <c r="Q43" s="283"/>
      <c r="R43" s="284"/>
      <c r="S43" s="235" t="s">
        <v>214</v>
      </c>
      <c r="T43" s="236"/>
      <c r="U43" s="237">
        <v>71.2</v>
      </c>
      <c r="V43" s="238"/>
      <c r="W43" s="239"/>
      <c r="X43" s="253">
        <v>1.34</v>
      </c>
      <c r="Y43" s="241"/>
      <c r="Z43" s="241"/>
      <c r="AA43" s="242">
        <f t="shared" ref="AA43" si="6">ROUND(X43*U43,2)</f>
        <v>95.41</v>
      </c>
      <c r="AB43" s="243"/>
      <c r="AC43" s="243"/>
      <c r="AD43" s="244"/>
      <c r="AE43" s="245">
        <f t="shared" ref="AE43" si="7">ROUND(X43*(1+AI$18),2)</f>
        <v>1.66</v>
      </c>
      <c r="AF43" s="246"/>
      <c r="AG43" s="246"/>
      <c r="AH43" s="246">
        <f>U43*AE43</f>
        <v>118.19199999999999</v>
      </c>
      <c r="AI43" s="246"/>
      <c r="AJ43" s="246"/>
      <c r="AK43" s="246"/>
      <c r="AL43" s="246"/>
      <c r="AM43" s="247"/>
      <c r="AT43" s="4"/>
      <c r="AU43" s="9"/>
      <c r="AV43" s="9"/>
      <c r="AW43" s="188"/>
      <c r="AX43" s="188"/>
      <c r="AY43" s="188"/>
    </row>
    <row r="44" spans="1:51" ht="50.1" customHeight="1" x14ac:dyDescent="0.25">
      <c r="A44" s="112" t="s">
        <v>67</v>
      </c>
      <c r="B44" s="248">
        <v>102331</v>
      </c>
      <c r="C44" s="249"/>
      <c r="D44" s="230" t="s">
        <v>50</v>
      </c>
      <c r="E44" s="231"/>
      <c r="F44" s="282" t="s">
        <v>261</v>
      </c>
      <c r="G44" s="283"/>
      <c r="H44" s="283"/>
      <c r="I44" s="283"/>
      <c r="J44" s="283"/>
      <c r="K44" s="283"/>
      <c r="L44" s="283"/>
      <c r="M44" s="283"/>
      <c r="N44" s="283"/>
      <c r="O44" s="283"/>
      <c r="P44" s="283"/>
      <c r="Q44" s="283"/>
      <c r="R44" s="284"/>
      <c r="S44" s="235" t="s">
        <v>262</v>
      </c>
      <c r="T44" s="236"/>
      <c r="U44" s="237">
        <v>225.49</v>
      </c>
      <c r="V44" s="238"/>
      <c r="W44" s="239"/>
      <c r="X44" s="253">
        <v>0.52</v>
      </c>
      <c r="Y44" s="241"/>
      <c r="Z44" s="241"/>
      <c r="AA44" s="242">
        <f t="shared" si="2"/>
        <v>117.25</v>
      </c>
      <c r="AB44" s="243"/>
      <c r="AC44" s="243"/>
      <c r="AD44" s="244"/>
      <c r="AE44" s="245">
        <f t="shared" si="4"/>
        <v>0.64</v>
      </c>
      <c r="AF44" s="246"/>
      <c r="AG44" s="246"/>
      <c r="AH44" s="246">
        <f>ROUND(AE44*U44,2)</f>
        <v>144.31</v>
      </c>
      <c r="AI44" s="246"/>
      <c r="AJ44" s="246"/>
      <c r="AK44" s="246"/>
      <c r="AL44" s="246"/>
      <c r="AM44" s="247"/>
      <c r="AR44" s="50"/>
      <c r="AU44" s="9"/>
      <c r="AV44" s="9"/>
      <c r="AW44" s="301"/>
      <c r="AX44" s="301"/>
      <c r="AY44" s="301"/>
    </row>
    <row r="45" spans="1:51" s="52" customFormat="1" ht="50.1" customHeight="1" x14ac:dyDescent="0.25">
      <c r="A45" s="112" t="s">
        <v>68</v>
      </c>
      <c r="B45" s="248" t="s">
        <v>210</v>
      </c>
      <c r="C45" s="249"/>
      <c r="D45" s="230" t="s">
        <v>132</v>
      </c>
      <c r="E45" s="231"/>
      <c r="F45" s="282" t="s">
        <v>263</v>
      </c>
      <c r="G45" s="283"/>
      <c r="H45" s="283"/>
      <c r="I45" s="283"/>
      <c r="J45" s="283"/>
      <c r="K45" s="283"/>
      <c r="L45" s="283"/>
      <c r="M45" s="283"/>
      <c r="N45" s="283"/>
      <c r="O45" s="283"/>
      <c r="P45" s="283"/>
      <c r="Q45" s="283"/>
      <c r="R45" s="284"/>
      <c r="S45" s="235" t="s">
        <v>159</v>
      </c>
      <c r="T45" s="236"/>
      <c r="U45" s="237">
        <v>1978</v>
      </c>
      <c r="V45" s="238"/>
      <c r="W45" s="239"/>
      <c r="X45" s="253">
        <v>2.0299999999999998</v>
      </c>
      <c r="Y45" s="241"/>
      <c r="Z45" s="241"/>
      <c r="AA45" s="242">
        <f t="shared" si="2"/>
        <v>4015.34</v>
      </c>
      <c r="AB45" s="243"/>
      <c r="AC45" s="243"/>
      <c r="AD45" s="244"/>
      <c r="AE45" s="245">
        <f t="shared" si="4"/>
        <v>2.5099999999999998</v>
      </c>
      <c r="AF45" s="246"/>
      <c r="AG45" s="246"/>
      <c r="AH45" s="246">
        <f>U45*AE45</f>
        <v>4964.78</v>
      </c>
      <c r="AI45" s="246"/>
      <c r="AJ45" s="246"/>
      <c r="AK45" s="246"/>
      <c r="AL45" s="246"/>
      <c r="AM45" s="247"/>
      <c r="AR45" s="50"/>
      <c r="AT45" s="4"/>
      <c r="AU45" s="9"/>
      <c r="AV45" s="9"/>
      <c r="AW45" s="199"/>
      <c r="AX45" s="199"/>
      <c r="AY45" s="199"/>
    </row>
    <row r="46" spans="1:51" ht="50.1" customHeight="1" x14ac:dyDescent="0.25">
      <c r="A46" s="112" t="s">
        <v>155</v>
      </c>
      <c r="B46" s="228">
        <v>102330</v>
      </c>
      <c r="C46" s="229"/>
      <c r="D46" s="230" t="s">
        <v>50</v>
      </c>
      <c r="E46" s="231"/>
      <c r="F46" s="232" t="s">
        <v>260</v>
      </c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4"/>
      <c r="S46" s="235" t="s">
        <v>214</v>
      </c>
      <c r="T46" s="236"/>
      <c r="U46" s="237">
        <v>29.67</v>
      </c>
      <c r="V46" s="238"/>
      <c r="W46" s="239"/>
      <c r="X46" s="240">
        <v>1.34</v>
      </c>
      <c r="Y46" s="241"/>
      <c r="Z46" s="241"/>
      <c r="AA46" s="242">
        <f t="shared" si="2"/>
        <v>39.76</v>
      </c>
      <c r="AB46" s="243"/>
      <c r="AC46" s="243"/>
      <c r="AD46" s="244"/>
      <c r="AE46" s="245">
        <f t="shared" si="4"/>
        <v>1.66</v>
      </c>
      <c r="AF46" s="246"/>
      <c r="AG46" s="246"/>
      <c r="AH46" s="246">
        <f>U46*AE46</f>
        <v>49.252200000000002</v>
      </c>
      <c r="AI46" s="246"/>
      <c r="AJ46" s="246"/>
      <c r="AK46" s="246"/>
      <c r="AL46" s="246"/>
      <c r="AM46" s="247"/>
      <c r="AP46" s="42"/>
      <c r="AU46" s="9"/>
      <c r="AV46" s="9"/>
      <c r="AW46" s="301"/>
      <c r="AX46" s="301"/>
      <c r="AY46" s="301"/>
    </row>
    <row r="47" spans="1:51" s="52" customFormat="1" ht="50.1" customHeight="1" x14ac:dyDescent="0.25">
      <c r="A47" s="112" t="s">
        <v>215</v>
      </c>
      <c r="B47" s="228">
        <v>102331</v>
      </c>
      <c r="C47" s="229"/>
      <c r="D47" s="230" t="s">
        <v>50</v>
      </c>
      <c r="E47" s="231"/>
      <c r="F47" s="232" t="s">
        <v>261</v>
      </c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4"/>
      <c r="S47" s="235" t="s">
        <v>214</v>
      </c>
      <c r="T47" s="236"/>
      <c r="U47" s="237">
        <v>93.95</v>
      </c>
      <c r="V47" s="238"/>
      <c r="W47" s="239"/>
      <c r="X47" s="240">
        <v>0.52</v>
      </c>
      <c r="Y47" s="241"/>
      <c r="Z47" s="241"/>
      <c r="AA47" s="242">
        <f t="shared" ref="AA47:AA49" si="8">ROUND(X47*U47,2)</f>
        <v>48.85</v>
      </c>
      <c r="AB47" s="243"/>
      <c r="AC47" s="243"/>
      <c r="AD47" s="244"/>
      <c r="AE47" s="245">
        <f t="shared" ref="AE47:AE49" si="9">ROUND(X47*(1+AI$18),2)</f>
        <v>0.64</v>
      </c>
      <c r="AF47" s="246"/>
      <c r="AG47" s="246"/>
      <c r="AH47" s="246">
        <f t="shared" ref="AH47:AH49" si="10">U47*AE47</f>
        <v>60.128</v>
      </c>
      <c r="AI47" s="246"/>
      <c r="AJ47" s="246"/>
      <c r="AK47" s="246"/>
      <c r="AL47" s="246"/>
      <c r="AM47" s="247"/>
      <c r="AP47" s="42"/>
      <c r="AT47" s="4"/>
      <c r="AU47" s="9"/>
      <c r="AV47" s="9"/>
      <c r="AW47" s="226"/>
      <c r="AX47" s="226"/>
      <c r="AY47" s="226"/>
    </row>
    <row r="48" spans="1:51" s="52" customFormat="1" ht="50.1" customHeight="1" x14ac:dyDescent="0.25">
      <c r="A48" s="112" t="s">
        <v>257</v>
      </c>
      <c r="B48" s="228">
        <v>95997</v>
      </c>
      <c r="C48" s="229"/>
      <c r="D48" s="230" t="s">
        <v>50</v>
      </c>
      <c r="E48" s="231"/>
      <c r="F48" s="232" t="s">
        <v>213</v>
      </c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4"/>
      <c r="S48" s="235" t="s">
        <v>150</v>
      </c>
      <c r="T48" s="236"/>
      <c r="U48" s="237">
        <v>59.34</v>
      </c>
      <c r="V48" s="238"/>
      <c r="W48" s="239"/>
      <c r="X48" s="240">
        <v>1694.41</v>
      </c>
      <c r="Y48" s="241"/>
      <c r="Z48" s="241"/>
      <c r="AA48" s="242">
        <f t="shared" si="8"/>
        <v>100546.29</v>
      </c>
      <c r="AB48" s="243"/>
      <c r="AC48" s="243"/>
      <c r="AD48" s="244"/>
      <c r="AE48" s="245">
        <f t="shared" si="9"/>
        <v>2094.8000000000002</v>
      </c>
      <c r="AF48" s="246"/>
      <c r="AG48" s="246"/>
      <c r="AH48" s="246">
        <f t="shared" si="10"/>
        <v>124305.43200000002</v>
      </c>
      <c r="AI48" s="246"/>
      <c r="AJ48" s="246"/>
      <c r="AK48" s="246"/>
      <c r="AL48" s="246"/>
      <c r="AM48" s="247"/>
      <c r="AP48" s="42"/>
      <c r="AT48" s="4"/>
      <c r="AU48" s="9"/>
      <c r="AV48" s="9"/>
      <c r="AW48" s="226"/>
      <c r="AX48" s="226"/>
      <c r="AY48" s="226"/>
    </row>
    <row r="49" spans="1:51" s="52" customFormat="1" ht="50.1" customHeight="1" x14ac:dyDescent="0.25">
      <c r="A49" s="112" t="s">
        <v>258</v>
      </c>
      <c r="B49" s="228">
        <v>95876</v>
      </c>
      <c r="C49" s="229"/>
      <c r="D49" s="230" t="s">
        <v>50</v>
      </c>
      <c r="E49" s="231"/>
      <c r="F49" s="232" t="s">
        <v>264</v>
      </c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4"/>
      <c r="S49" s="548" t="s">
        <v>265</v>
      </c>
      <c r="T49" s="549"/>
      <c r="U49" s="237">
        <v>1780.2</v>
      </c>
      <c r="V49" s="238"/>
      <c r="W49" s="239"/>
      <c r="X49" s="240">
        <v>2.08</v>
      </c>
      <c r="Y49" s="241"/>
      <c r="Z49" s="241"/>
      <c r="AA49" s="242">
        <f t="shared" si="8"/>
        <v>3702.82</v>
      </c>
      <c r="AB49" s="243"/>
      <c r="AC49" s="243"/>
      <c r="AD49" s="244"/>
      <c r="AE49" s="245">
        <f t="shared" si="9"/>
        <v>2.57</v>
      </c>
      <c r="AF49" s="246"/>
      <c r="AG49" s="246"/>
      <c r="AH49" s="246">
        <f t="shared" si="10"/>
        <v>4575.1139999999996</v>
      </c>
      <c r="AI49" s="246"/>
      <c r="AJ49" s="246"/>
      <c r="AK49" s="246"/>
      <c r="AL49" s="246"/>
      <c r="AM49" s="247"/>
      <c r="AP49" s="42"/>
      <c r="AT49" s="4"/>
      <c r="AU49" s="9"/>
      <c r="AV49" s="9"/>
      <c r="AW49" s="226"/>
      <c r="AX49" s="226"/>
      <c r="AY49" s="226"/>
    </row>
    <row r="50" spans="1:51" s="52" customFormat="1" ht="50.1" customHeight="1" x14ac:dyDescent="0.25">
      <c r="A50" s="112" t="s">
        <v>277</v>
      </c>
      <c r="B50" s="248">
        <v>93593</v>
      </c>
      <c r="C50" s="249"/>
      <c r="D50" s="230" t="s">
        <v>50</v>
      </c>
      <c r="E50" s="231"/>
      <c r="F50" s="232" t="s">
        <v>266</v>
      </c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4"/>
      <c r="S50" s="274" t="s">
        <v>131</v>
      </c>
      <c r="T50" s="275"/>
      <c r="U50" s="237">
        <v>2367.66</v>
      </c>
      <c r="V50" s="238"/>
      <c r="W50" s="239"/>
      <c r="X50" s="253">
        <v>0.83</v>
      </c>
      <c r="Y50" s="241"/>
      <c r="Z50" s="259"/>
      <c r="AA50" s="260">
        <f t="shared" ref="AA50" si="11">ROUND(X50*U50,2)</f>
        <v>1965.16</v>
      </c>
      <c r="AB50" s="261"/>
      <c r="AC50" s="261"/>
      <c r="AD50" s="262"/>
      <c r="AE50" s="263">
        <f t="shared" ref="AE50" si="12">ROUND(X50*(1+AI$18),2)</f>
        <v>1.03</v>
      </c>
      <c r="AF50" s="264"/>
      <c r="AG50" s="265"/>
      <c r="AH50" s="266">
        <f>ROUND(AE50*U50,2)</f>
        <v>2438.69</v>
      </c>
      <c r="AI50" s="264"/>
      <c r="AJ50" s="264"/>
      <c r="AK50" s="264"/>
      <c r="AL50" s="264"/>
      <c r="AM50" s="267"/>
      <c r="AT50" s="4"/>
      <c r="AU50" s="9"/>
      <c r="AV50" s="9"/>
      <c r="AW50" s="174"/>
      <c r="AX50" s="174"/>
      <c r="AY50" s="174"/>
    </row>
    <row r="51" spans="1:51" ht="50.1" customHeight="1" x14ac:dyDescent="0.25">
      <c r="A51" s="112"/>
      <c r="B51" s="248"/>
      <c r="C51" s="249"/>
      <c r="D51" s="230"/>
      <c r="E51" s="231"/>
      <c r="F51" s="296" t="s">
        <v>52</v>
      </c>
      <c r="G51" s="297"/>
      <c r="H51" s="297"/>
      <c r="I51" s="297"/>
      <c r="J51" s="297"/>
      <c r="K51" s="297"/>
      <c r="L51" s="297"/>
      <c r="M51" s="297"/>
      <c r="N51" s="297"/>
      <c r="O51" s="297"/>
      <c r="P51" s="297"/>
      <c r="Q51" s="297"/>
      <c r="R51" s="298"/>
      <c r="S51" s="235"/>
      <c r="T51" s="236"/>
      <c r="U51" s="237"/>
      <c r="V51" s="238"/>
      <c r="W51" s="239"/>
      <c r="X51" s="253"/>
      <c r="Y51" s="241"/>
      <c r="Z51" s="259"/>
      <c r="AA51" s="306">
        <f>SUM(AA39:AD50)</f>
        <v>159568.86000000002</v>
      </c>
      <c r="AB51" s="307"/>
      <c r="AC51" s="307"/>
      <c r="AD51" s="308"/>
      <c r="AE51" s="245"/>
      <c r="AF51" s="246"/>
      <c r="AG51" s="246"/>
      <c r="AH51" s="302">
        <v>197285.18</v>
      </c>
      <c r="AI51" s="303"/>
      <c r="AJ51" s="303"/>
      <c r="AK51" s="303"/>
      <c r="AL51" s="303"/>
      <c r="AM51" s="304"/>
      <c r="AP51" s="42">
        <v>197285.18</v>
      </c>
      <c r="AR51" s="50"/>
      <c r="AU51" s="9"/>
      <c r="AV51" s="9"/>
      <c r="AW51" s="457"/>
      <c r="AX51" s="457"/>
      <c r="AY51" s="457"/>
    </row>
    <row r="52" spans="1:51" s="52" customFormat="1" ht="50.1" customHeight="1" x14ac:dyDescent="0.25">
      <c r="A52" s="117">
        <v>3</v>
      </c>
      <c r="B52" s="287"/>
      <c r="C52" s="288"/>
      <c r="D52" s="289"/>
      <c r="E52" s="290"/>
      <c r="F52" s="291" t="s">
        <v>167</v>
      </c>
      <c r="G52" s="292"/>
      <c r="H52" s="292"/>
      <c r="I52" s="292"/>
      <c r="J52" s="292"/>
      <c r="K52" s="292"/>
      <c r="L52" s="292"/>
      <c r="M52" s="292"/>
      <c r="N52" s="292"/>
      <c r="O52" s="292"/>
      <c r="P52" s="292"/>
      <c r="Q52" s="292"/>
      <c r="R52" s="293"/>
      <c r="S52" s="294"/>
      <c r="T52" s="295"/>
      <c r="U52" s="316"/>
      <c r="V52" s="317"/>
      <c r="W52" s="318"/>
      <c r="X52" s="276"/>
      <c r="Y52" s="277"/>
      <c r="Z52" s="278"/>
      <c r="AA52" s="279"/>
      <c r="AB52" s="280"/>
      <c r="AC52" s="280"/>
      <c r="AD52" s="281"/>
      <c r="AE52" s="309"/>
      <c r="AF52" s="310"/>
      <c r="AG52" s="310"/>
      <c r="AH52" s="310"/>
      <c r="AI52" s="310"/>
      <c r="AJ52" s="310"/>
      <c r="AK52" s="310"/>
      <c r="AL52" s="310"/>
      <c r="AM52" s="311"/>
      <c r="AP52" s="42"/>
      <c r="AR52" s="50"/>
      <c r="AT52" s="4"/>
      <c r="AU52" s="9"/>
      <c r="AV52" s="9"/>
      <c r="AW52" s="180"/>
      <c r="AX52" s="180"/>
      <c r="AY52" s="180"/>
    </row>
    <row r="53" spans="1:51" s="52" customFormat="1" ht="50.1" customHeight="1" x14ac:dyDescent="0.25">
      <c r="A53" s="112" t="s">
        <v>3</v>
      </c>
      <c r="B53" s="248" t="s">
        <v>210</v>
      </c>
      <c r="C53" s="249"/>
      <c r="D53" s="230" t="s">
        <v>132</v>
      </c>
      <c r="E53" s="231"/>
      <c r="F53" s="232" t="s">
        <v>209</v>
      </c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4"/>
      <c r="S53" s="235" t="s">
        <v>8</v>
      </c>
      <c r="T53" s="236"/>
      <c r="U53" s="237">
        <v>3452.8</v>
      </c>
      <c r="V53" s="238"/>
      <c r="W53" s="239"/>
      <c r="X53" s="253">
        <v>2.0299999999999998</v>
      </c>
      <c r="Y53" s="241"/>
      <c r="Z53" s="241"/>
      <c r="AA53" s="242">
        <f t="shared" ref="AA53:AA58" si="13">ROUND(X53*U53,2)</f>
        <v>7009.18</v>
      </c>
      <c r="AB53" s="243"/>
      <c r="AC53" s="243"/>
      <c r="AD53" s="244"/>
      <c r="AE53" s="245">
        <f t="shared" ref="AE53:AE58" si="14">ROUND(X53*(1+AI$18),2)</f>
        <v>2.5099999999999998</v>
      </c>
      <c r="AF53" s="246"/>
      <c r="AG53" s="246"/>
      <c r="AH53" s="246">
        <f>ROUND(AE53*U53,2)</f>
        <v>8666.5300000000007</v>
      </c>
      <c r="AI53" s="246"/>
      <c r="AJ53" s="246"/>
      <c r="AK53" s="246"/>
      <c r="AL53" s="246"/>
      <c r="AM53" s="247"/>
      <c r="AP53" s="42"/>
      <c r="AR53" s="50"/>
      <c r="AT53" s="4"/>
      <c r="AU53" s="9"/>
      <c r="AV53" s="9"/>
      <c r="AW53" s="180"/>
      <c r="AX53" s="180"/>
      <c r="AY53" s="180"/>
    </row>
    <row r="54" spans="1:51" s="52" customFormat="1" ht="50.1" customHeight="1" x14ac:dyDescent="0.25">
      <c r="A54" s="112" t="s">
        <v>6</v>
      </c>
      <c r="B54" s="228">
        <v>102330</v>
      </c>
      <c r="C54" s="229"/>
      <c r="D54" s="230" t="s">
        <v>50</v>
      </c>
      <c r="E54" s="231"/>
      <c r="F54" s="232" t="str">
        <f>F46</f>
        <v>TRANSPORTE COM CAMINHÃO TANQUE DE TRANSPORTE DE MATERIAL ASFALTICO  DE 30000 L , EM VIA URBANA PAVIMENTADA ,DMT ATE 30 KM</v>
      </c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4"/>
      <c r="S54" s="235" t="s">
        <v>262</v>
      </c>
      <c r="T54" s="236"/>
      <c r="U54" s="237">
        <v>51.79</v>
      </c>
      <c r="V54" s="238"/>
      <c r="W54" s="239"/>
      <c r="X54" s="240">
        <v>1.34</v>
      </c>
      <c r="Y54" s="241"/>
      <c r="Z54" s="241"/>
      <c r="AA54" s="242">
        <f t="shared" si="13"/>
        <v>69.400000000000006</v>
      </c>
      <c r="AB54" s="243"/>
      <c r="AC54" s="243"/>
      <c r="AD54" s="244"/>
      <c r="AE54" s="245">
        <f t="shared" si="14"/>
        <v>1.66</v>
      </c>
      <c r="AF54" s="246"/>
      <c r="AG54" s="246"/>
      <c r="AH54" s="246">
        <f>U54*AE54</f>
        <v>85.971399999999988</v>
      </c>
      <c r="AI54" s="246"/>
      <c r="AJ54" s="246"/>
      <c r="AK54" s="246"/>
      <c r="AL54" s="246"/>
      <c r="AM54" s="247"/>
      <c r="AP54" s="42"/>
      <c r="AR54" s="50"/>
      <c r="AT54" s="4"/>
      <c r="AU54" s="9"/>
      <c r="AV54" s="9"/>
      <c r="AW54" s="180"/>
      <c r="AX54" s="180"/>
      <c r="AY54" s="180"/>
    </row>
    <row r="55" spans="1:51" s="52" customFormat="1" ht="50.1" customHeight="1" x14ac:dyDescent="0.25">
      <c r="A55" s="112" t="s">
        <v>184</v>
      </c>
      <c r="B55" s="228">
        <v>102331</v>
      </c>
      <c r="C55" s="229"/>
      <c r="D55" s="230" t="s">
        <v>50</v>
      </c>
      <c r="E55" s="231"/>
      <c r="F55" s="232" t="str">
        <f>F47</f>
        <v>TRANSPORTE COM CAMINHAO TANQUE DE TRANSPORTE DE MATERIAL ASFALTICO DE 30000 L, EM VIA URBANA PAVIMENTADA ADICIONAL PARA DMT EXCEDENTE A30 KM</v>
      </c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4"/>
      <c r="S55" s="235" t="s">
        <v>262</v>
      </c>
      <c r="T55" s="236"/>
      <c r="U55" s="237">
        <v>164</v>
      </c>
      <c r="V55" s="238"/>
      <c r="W55" s="239"/>
      <c r="X55" s="240">
        <v>0.52</v>
      </c>
      <c r="Y55" s="241"/>
      <c r="Z55" s="241"/>
      <c r="AA55" s="242">
        <f t="shared" ref="AA55:AA57" si="15">ROUND(X55*U55,2)</f>
        <v>85.28</v>
      </c>
      <c r="AB55" s="243"/>
      <c r="AC55" s="243"/>
      <c r="AD55" s="244"/>
      <c r="AE55" s="245">
        <f t="shared" ref="AE55:AE57" si="16">ROUND(X55*(1+AI$18),2)</f>
        <v>0.64</v>
      </c>
      <c r="AF55" s="246"/>
      <c r="AG55" s="246"/>
      <c r="AH55" s="246">
        <f t="shared" ref="AH55:AH57" si="17">U55*AE55</f>
        <v>104.96000000000001</v>
      </c>
      <c r="AI55" s="246"/>
      <c r="AJ55" s="246"/>
      <c r="AK55" s="246"/>
      <c r="AL55" s="246"/>
      <c r="AM55" s="247"/>
      <c r="AP55" s="42"/>
      <c r="AR55" s="50"/>
      <c r="AT55" s="4"/>
      <c r="AU55" s="9"/>
      <c r="AV55" s="9"/>
      <c r="AW55" s="227"/>
      <c r="AX55" s="227"/>
      <c r="AY55" s="227"/>
    </row>
    <row r="56" spans="1:51" s="52" customFormat="1" ht="50.1" customHeight="1" x14ac:dyDescent="0.25">
      <c r="A56" s="112" t="s">
        <v>267</v>
      </c>
      <c r="B56" s="228">
        <v>95995</v>
      </c>
      <c r="C56" s="229"/>
      <c r="D56" s="230" t="s">
        <v>50</v>
      </c>
      <c r="E56" s="231"/>
      <c r="F56" s="232" t="str">
        <f t="shared" ref="F56:F57" si="18">F48</f>
        <v>EXECUÇÃO DE PAVIMENTO COM APLICAÇÃO DE CONCRETO ASFÁLTICO, CAMADA DE ROLAMENTO - EXCLUSIVE CARGA E TRANSPORTE.</v>
      </c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4"/>
      <c r="S56" s="235" t="s">
        <v>150</v>
      </c>
      <c r="T56" s="236"/>
      <c r="U56" s="237">
        <v>103.58</v>
      </c>
      <c r="V56" s="238"/>
      <c r="W56" s="239"/>
      <c r="X56" s="240">
        <v>1694.41</v>
      </c>
      <c r="Y56" s="241"/>
      <c r="Z56" s="241"/>
      <c r="AA56" s="242">
        <f t="shared" si="15"/>
        <v>175506.99</v>
      </c>
      <c r="AB56" s="243"/>
      <c r="AC56" s="243"/>
      <c r="AD56" s="244"/>
      <c r="AE56" s="245">
        <f t="shared" si="16"/>
        <v>2094.8000000000002</v>
      </c>
      <c r="AF56" s="246"/>
      <c r="AG56" s="246"/>
      <c r="AH56" s="246">
        <f t="shared" si="17"/>
        <v>216979.38400000002</v>
      </c>
      <c r="AI56" s="246"/>
      <c r="AJ56" s="246"/>
      <c r="AK56" s="246"/>
      <c r="AL56" s="246"/>
      <c r="AM56" s="247"/>
      <c r="AP56" s="42"/>
      <c r="AR56" s="50"/>
      <c r="AT56" s="4"/>
      <c r="AU56" s="9"/>
      <c r="AV56" s="9"/>
      <c r="AW56" s="227"/>
      <c r="AX56" s="227"/>
      <c r="AY56" s="227"/>
    </row>
    <row r="57" spans="1:51" s="52" customFormat="1" ht="50.1" customHeight="1" x14ac:dyDescent="0.25">
      <c r="A57" s="112" t="s">
        <v>268</v>
      </c>
      <c r="B57" s="228">
        <v>95876</v>
      </c>
      <c r="C57" s="229"/>
      <c r="D57" s="230" t="s">
        <v>50</v>
      </c>
      <c r="E57" s="231"/>
      <c r="F57" s="232" t="str">
        <f t="shared" si="18"/>
        <v>TRANSPORTE COM CAMINHAO BASCULANTE DE 14 M3, EM VIA URBANA PAVIMENTADA DMT ATE 30 KM</v>
      </c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4"/>
      <c r="S57" s="235" t="s">
        <v>265</v>
      </c>
      <c r="T57" s="236"/>
      <c r="U57" s="237">
        <v>3107.4</v>
      </c>
      <c r="V57" s="238"/>
      <c r="W57" s="239"/>
      <c r="X57" s="240">
        <v>2.08</v>
      </c>
      <c r="Y57" s="241"/>
      <c r="Z57" s="241"/>
      <c r="AA57" s="242">
        <f t="shared" si="15"/>
        <v>6463.39</v>
      </c>
      <c r="AB57" s="243"/>
      <c r="AC57" s="243"/>
      <c r="AD57" s="244"/>
      <c r="AE57" s="245">
        <f t="shared" si="16"/>
        <v>2.57</v>
      </c>
      <c r="AF57" s="246"/>
      <c r="AG57" s="246"/>
      <c r="AH57" s="246">
        <f t="shared" si="17"/>
        <v>7986.018</v>
      </c>
      <c r="AI57" s="246"/>
      <c r="AJ57" s="246"/>
      <c r="AK57" s="246"/>
      <c r="AL57" s="246"/>
      <c r="AM57" s="247"/>
      <c r="AP57" s="42"/>
      <c r="AR57" s="50"/>
      <c r="AT57" s="4"/>
      <c r="AU57" s="9"/>
      <c r="AV57" s="9"/>
      <c r="AW57" s="227"/>
      <c r="AX57" s="227"/>
      <c r="AY57" s="227"/>
    </row>
    <row r="58" spans="1:51" s="52" customFormat="1" ht="50.1" customHeight="1" x14ac:dyDescent="0.25">
      <c r="A58" s="112" t="s">
        <v>269</v>
      </c>
      <c r="B58" s="248">
        <v>93593</v>
      </c>
      <c r="C58" s="249"/>
      <c r="D58" s="230" t="s">
        <v>50</v>
      </c>
      <c r="E58" s="231"/>
      <c r="F58" s="232" t="s">
        <v>270</v>
      </c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4"/>
      <c r="S58" s="235" t="s">
        <v>131</v>
      </c>
      <c r="T58" s="236"/>
      <c r="U58" s="237">
        <v>4132.84</v>
      </c>
      <c r="V58" s="238"/>
      <c r="W58" s="239"/>
      <c r="X58" s="253">
        <v>0.83</v>
      </c>
      <c r="Y58" s="241"/>
      <c r="Z58" s="259"/>
      <c r="AA58" s="260">
        <f t="shared" si="13"/>
        <v>3430.26</v>
      </c>
      <c r="AB58" s="261"/>
      <c r="AC58" s="261"/>
      <c r="AD58" s="262"/>
      <c r="AE58" s="263">
        <f t="shared" si="14"/>
        <v>1.03</v>
      </c>
      <c r="AF58" s="264"/>
      <c r="AG58" s="265"/>
      <c r="AH58" s="266">
        <f>ROUND(AE58*U58,2)</f>
        <v>4256.83</v>
      </c>
      <c r="AI58" s="264"/>
      <c r="AJ58" s="264"/>
      <c r="AK58" s="264"/>
      <c r="AL58" s="264"/>
      <c r="AM58" s="267"/>
      <c r="AP58" s="42"/>
      <c r="AR58" s="50"/>
      <c r="AT58" s="4"/>
      <c r="AU58" s="9"/>
      <c r="AV58" s="9"/>
      <c r="AW58" s="180"/>
      <c r="AX58" s="180"/>
      <c r="AY58" s="180"/>
    </row>
    <row r="59" spans="1:51" ht="50.1" customHeight="1" x14ac:dyDescent="0.25">
      <c r="A59" s="113"/>
      <c r="B59" s="248"/>
      <c r="C59" s="249"/>
      <c r="D59" s="230"/>
      <c r="E59" s="231"/>
      <c r="F59" s="296" t="s">
        <v>53</v>
      </c>
      <c r="G59" s="297"/>
      <c r="H59" s="297"/>
      <c r="I59" s="297"/>
      <c r="J59" s="297"/>
      <c r="K59" s="297"/>
      <c r="L59" s="297"/>
      <c r="M59" s="297"/>
      <c r="N59" s="297"/>
      <c r="O59" s="297"/>
      <c r="P59" s="297"/>
      <c r="Q59" s="297"/>
      <c r="R59" s="298"/>
      <c r="S59" s="235"/>
      <c r="T59" s="236"/>
      <c r="U59" s="237"/>
      <c r="V59" s="238"/>
      <c r="W59" s="239"/>
      <c r="X59" s="253"/>
      <c r="Y59" s="241"/>
      <c r="Z59" s="259"/>
      <c r="AA59" s="306">
        <f>SUM(AA46:AD58)</f>
        <v>458436.24000000005</v>
      </c>
      <c r="AB59" s="307"/>
      <c r="AC59" s="307"/>
      <c r="AD59" s="308"/>
      <c r="AE59" s="245"/>
      <c r="AF59" s="246"/>
      <c r="AG59" s="246"/>
      <c r="AH59" s="302">
        <f>AH53+AH54+AH58+AH55+AH56+AH57</f>
        <v>238079.69340000002</v>
      </c>
      <c r="AI59" s="303"/>
      <c r="AJ59" s="303"/>
      <c r="AK59" s="303"/>
      <c r="AL59" s="303"/>
      <c r="AM59" s="304"/>
      <c r="AP59" s="42"/>
      <c r="AU59" s="9"/>
      <c r="AV59" s="9"/>
      <c r="AW59" s="458"/>
      <c r="AX59" s="458"/>
      <c r="AY59" s="458"/>
    </row>
    <row r="60" spans="1:51" ht="50.1" customHeight="1" x14ac:dyDescent="0.25">
      <c r="A60" s="117">
        <v>4</v>
      </c>
      <c r="B60" s="287"/>
      <c r="C60" s="288"/>
      <c r="D60" s="289"/>
      <c r="E60" s="290"/>
      <c r="F60" s="291" t="s">
        <v>61</v>
      </c>
      <c r="G60" s="292"/>
      <c r="H60" s="292"/>
      <c r="I60" s="292"/>
      <c r="J60" s="292"/>
      <c r="K60" s="292"/>
      <c r="L60" s="292"/>
      <c r="M60" s="292"/>
      <c r="N60" s="292"/>
      <c r="O60" s="292"/>
      <c r="P60" s="292"/>
      <c r="Q60" s="292"/>
      <c r="R60" s="293"/>
      <c r="S60" s="294"/>
      <c r="T60" s="295"/>
      <c r="U60" s="316"/>
      <c r="V60" s="317"/>
      <c r="W60" s="318"/>
      <c r="X60" s="276"/>
      <c r="Y60" s="277"/>
      <c r="Z60" s="278"/>
      <c r="AA60" s="279"/>
      <c r="AB60" s="280"/>
      <c r="AC60" s="280"/>
      <c r="AD60" s="281"/>
      <c r="AE60" s="309"/>
      <c r="AF60" s="310"/>
      <c r="AG60" s="310"/>
      <c r="AH60" s="310"/>
      <c r="AI60" s="310"/>
      <c r="AJ60" s="310"/>
      <c r="AK60" s="310"/>
      <c r="AL60" s="310"/>
      <c r="AM60" s="311"/>
      <c r="AU60" s="9"/>
      <c r="AV60" s="9"/>
      <c r="AW60" s="457"/>
      <c r="AX60" s="457"/>
      <c r="AY60" s="457"/>
    </row>
    <row r="61" spans="1:51" s="52" customFormat="1" ht="50.1" customHeight="1" x14ac:dyDescent="0.25">
      <c r="A61" s="112" t="s">
        <v>5</v>
      </c>
      <c r="B61" s="299">
        <v>94273</v>
      </c>
      <c r="C61" s="300"/>
      <c r="D61" s="230" t="s">
        <v>50</v>
      </c>
      <c r="E61" s="231"/>
      <c r="F61" s="232" t="s">
        <v>271</v>
      </c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4"/>
      <c r="S61" s="235" t="s">
        <v>54</v>
      </c>
      <c r="T61" s="236"/>
      <c r="U61" s="237">
        <v>889.25</v>
      </c>
      <c r="V61" s="238"/>
      <c r="W61" s="239"/>
      <c r="X61" s="285">
        <v>71.069999999999993</v>
      </c>
      <c r="Y61" s="286"/>
      <c r="Z61" s="286"/>
      <c r="AA61" s="242">
        <f>ROUND(X61*U61,2)</f>
        <v>63199</v>
      </c>
      <c r="AB61" s="243"/>
      <c r="AC61" s="243"/>
      <c r="AD61" s="244"/>
      <c r="AE61" s="245">
        <f>ROUND(X61*(1+AI$18),2)</f>
        <v>87.86</v>
      </c>
      <c r="AF61" s="246"/>
      <c r="AG61" s="246"/>
      <c r="AH61" s="246">
        <f>ROUND(AE61*U61,2)</f>
        <v>78129.509999999995</v>
      </c>
      <c r="AI61" s="246"/>
      <c r="AJ61" s="246"/>
      <c r="AK61" s="246"/>
      <c r="AL61" s="246"/>
      <c r="AM61" s="247"/>
      <c r="AT61" s="4"/>
      <c r="AU61" s="9"/>
      <c r="AV61" s="9"/>
      <c r="AW61" s="227"/>
      <c r="AX61" s="227"/>
      <c r="AY61" s="227"/>
    </row>
    <row r="62" spans="1:51" ht="50.1" customHeight="1" x14ac:dyDescent="0.25">
      <c r="A62" s="112" t="s">
        <v>272</v>
      </c>
      <c r="B62" s="299">
        <v>2003261</v>
      </c>
      <c r="C62" s="300"/>
      <c r="D62" s="230" t="s">
        <v>229</v>
      </c>
      <c r="E62" s="231"/>
      <c r="F62" s="232" t="s">
        <v>228</v>
      </c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4"/>
      <c r="S62" s="235" t="s">
        <v>54</v>
      </c>
      <c r="T62" s="236"/>
      <c r="U62" s="237">
        <v>904.93</v>
      </c>
      <c r="V62" s="238"/>
      <c r="W62" s="239"/>
      <c r="X62" s="285">
        <v>52.38</v>
      </c>
      <c r="Y62" s="286"/>
      <c r="Z62" s="286"/>
      <c r="AA62" s="242">
        <f>ROUND(X62*U62,2)</f>
        <v>47400.23</v>
      </c>
      <c r="AB62" s="243"/>
      <c r="AC62" s="243"/>
      <c r="AD62" s="244"/>
      <c r="AE62" s="245">
        <f>ROUND(X62*(1+AI$18),2)</f>
        <v>64.760000000000005</v>
      </c>
      <c r="AF62" s="246"/>
      <c r="AG62" s="246"/>
      <c r="AH62" s="246">
        <f>ROUND(AE62*U62,2)</f>
        <v>58603.27</v>
      </c>
      <c r="AI62" s="246"/>
      <c r="AJ62" s="246"/>
      <c r="AK62" s="246"/>
      <c r="AL62" s="246"/>
      <c r="AM62" s="247"/>
      <c r="AU62" s="9"/>
      <c r="AV62" s="9"/>
      <c r="AW62" s="301"/>
      <c r="AX62" s="301"/>
      <c r="AY62" s="301"/>
    </row>
    <row r="63" spans="1:51" ht="50.1" customHeight="1" x14ac:dyDescent="0.25">
      <c r="A63" s="112"/>
      <c r="B63" s="248"/>
      <c r="C63" s="249"/>
      <c r="D63" s="230"/>
      <c r="E63" s="231"/>
      <c r="F63" s="296" t="s">
        <v>55</v>
      </c>
      <c r="G63" s="297"/>
      <c r="H63" s="297"/>
      <c r="I63" s="297"/>
      <c r="J63" s="297"/>
      <c r="K63" s="297"/>
      <c r="L63" s="297"/>
      <c r="M63" s="297"/>
      <c r="N63" s="297"/>
      <c r="O63" s="297"/>
      <c r="P63" s="297"/>
      <c r="Q63" s="297"/>
      <c r="R63" s="298"/>
      <c r="S63" s="235"/>
      <c r="T63" s="236"/>
      <c r="U63" s="237"/>
      <c r="V63" s="238"/>
      <c r="W63" s="239"/>
      <c r="X63" s="253"/>
      <c r="Y63" s="241"/>
      <c r="Z63" s="259"/>
      <c r="AA63" s="306">
        <f>SUM(AA62:AD62)</f>
        <v>47400.23</v>
      </c>
      <c r="AB63" s="307"/>
      <c r="AC63" s="307"/>
      <c r="AD63" s="308"/>
      <c r="AE63" s="245"/>
      <c r="AF63" s="246"/>
      <c r="AG63" s="246"/>
      <c r="AH63" s="302">
        <f>AH62+AH61</f>
        <v>136732.78</v>
      </c>
      <c r="AI63" s="303"/>
      <c r="AJ63" s="303"/>
      <c r="AK63" s="303"/>
      <c r="AL63" s="303"/>
      <c r="AM63" s="304"/>
      <c r="AP63" s="42"/>
      <c r="AU63" s="9"/>
      <c r="AV63" s="9"/>
      <c r="AW63" s="457"/>
      <c r="AX63" s="457"/>
      <c r="AY63" s="457"/>
    </row>
    <row r="64" spans="1:51" ht="50.1" customHeight="1" x14ac:dyDescent="0.25">
      <c r="A64" s="117">
        <v>5</v>
      </c>
      <c r="B64" s="287"/>
      <c r="C64" s="288"/>
      <c r="D64" s="289"/>
      <c r="E64" s="290"/>
      <c r="F64" s="291" t="s">
        <v>63</v>
      </c>
      <c r="G64" s="292"/>
      <c r="H64" s="292"/>
      <c r="I64" s="292"/>
      <c r="J64" s="292"/>
      <c r="K64" s="292"/>
      <c r="L64" s="292"/>
      <c r="M64" s="292"/>
      <c r="N64" s="292"/>
      <c r="O64" s="292"/>
      <c r="P64" s="292"/>
      <c r="Q64" s="292"/>
      <c r="R64" s="293"/>
      <c r="S64" s="294"/>
      <c r="T64" s="295"/>
      <c r="U64" s="316"/>
      <c r="V64" s="317"/>
      <c r="W64" s="318"/>
      <c r="X64" s="276"/>
      <c r="Y64" s="277"/>
      <c r="Z64" s="278"/>
      <c r="AA64" s="279"/>
      <c r="AB64" s="280"/>
      <c r="AC64" s="280"/>
      <c r="AD64" s="281"/>
      <c r="AE64" s="309"/>
      <c r="AF64" s="310"/>
      <c r="AG64" s="310"/>
      <c r="AH64" s="310"/>
      <c r="AI64" s="310"/>
      <c r="AJ64" s="310"/>
      <c r="AK64" s="310"/>
      <c r="AL64" s="310"/>
      <c r="AM64" s="311"/>
      <c r="AU64" s="9"/>
      <c r="AV64" s="9"/>
      <c r="AW64" s="457"/>
      <c r="AX64" s="457"/>
      <c r="AY64" s="457"/>
    </row>
    <row r="65" spans="1:51" ht="50.1" customHeight="1" x14ac:dyDescent="0.25">
      <c r="A65" s="112" t="s">
        <v>7</v>
      </c>
      <c r="B65" s="248">
        <v>102513</v>
      </c>
      <c r="C65" s="249"/>
      <c r="D65" s="230" t="s">
        <v>50</v>
      </c>
      <c r="E65" s="231"/>
      <c r="F65" s="232" t="s">
        <v>165</v>
      </c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4"/>
      <c r="S65" s="235" t="s">
        <v>159</v>
      </c>
      <c r="T65" s="236"/>
      <c r="U65" s="237">
        <v>37.24</v>
      </c>
      <c r="V65" s="238"/>
      <c r="W65" s="239"/>
      <c r="X65" s="253">
        <v>44.83</v>
      </c>
      <c r="Y65" s="241"/>
      <c r="Z65" s="241"/>
      <c r="AA65" s="242">
        <f>U65*X65</f>
        <v>1669.4692</v>
      </c>
      <c r="AB65" s="243"/>
      <c r="AC65" s="243"/>
      <c r="AD65" s="244"/>
      <c r="AE65" s="245">
        <f>ROUND(X65*(1+AI$18),2)</f>
        <v>55.42</v>
      </c>
      <c r="AF65" s="246"/>
      <c r="AG65" s="246"/>
      <c r="AH65" s="246">
        <f>U65*AE65</f>
        <v>2063.8408000000004</v>
      </c>
      <c r="AI65" s="246"/>
      <c r="AJ65" s="246"/>
      <c r="AK65" s="246"/>
      <c r="AL65" s="246"/>
      <c r="AM65" s="247"/>
      <c r="AP65" s="48"/>
      <c r="AU65" s="9"/>
      <c r="AV65" s="9"/>
      <c r="AW65" s="301"/>
      <c r="AX65" s="301"/>
      <c r="AY65" s="301"/>
    </row>
    <row r="66" spans="1:51" ht="50.1" customHeight="1" x14ac:dyDescent="0.25">
      <c r="A66" s="112" t="s">
        <v>62</v>
      </c>
      <c r="B66" s="248">
        <v>102512</v>
      </c>
      <c r="C66" s="249"/>
      <c r="D66" s="230" t="s">
        <v>50</v>
      </c>
      <c r="E66" s="231"/>
      <c r="F66" s="232" t="s">
        <v>164</v>
      </c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4"/>
      <c r="S66" s="235" t="s">
        <v>158</v>
      </c>
      <c r="T66" s="236"/>
      <c r="U66" s="250">
        <v>2753</v>
      </c>
      <c r="V66" s="251"/>
      <c r="W66" s="252"/>
      <c r="X66" s="253">
        <v>5.84</v>
      </c>
      <c r="Y66" s="241"/>
      <c r="Z66" s="241"/>
      <c r="AA66" s="242">
        <f>ROUND(X66*U66,2)</f>
        <v>16077.52</v>
      </c>
      <c r="AB66" s="243"/>
      <c r="AC66" s="243"/>
      <c r="AD66" s="244"/>
      <c r="AE66" s="245">
        <f>ROUND(X66*(1+AI$18),2)</f>
        <v>7.22</v>
      </c>
      <c r="AF66" s="246"/>
      <c r="AG66" s="246"/>
      <c r="AH66" s="246">
        <f>U66*AE66</f>
        <v>19876.66</v>
      </c>
      <c r="AI66" s="246"/>
      <c r="AJ66" s="246"/>
      <c r="AK66" s="246"/>
      <c r="AL66" s="246"/>
      <c r="AM66" s="247"/>
      <c r="AP66" s="42"/>
      <c r="AU66" s="9"/>
      <c r="AV66" s="9"/>
      <c r="AW66" s="301"/>
      <c r="AX66" s="301"/>
      <c r="AY66" s="301"/>
    </row>
    <row r="67" spans="1:51" s="52" customFormat="1" ht="50.1" customHeight="1" x14ac:dyDescent="0.25">
      <c r="A67" s="112" t="s">
        <v>153</v>
      </c>
      <c r="B67" s="248">
        <v>5213444</v>
      </c>
      <c r="C67" s="249"/>
      <c r="D67" s="230" t="s">
        <v>229</v>
      </c>
      <c r="E67" s="231"/>
      <c r="F67" s="232" t="s">
        <v>241</v>
      </c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4"/>
      <c r="S67" s="235" t="s">
        <v>56</v>
      </c>
      <c r="T67" s="236"/>
      <c r="U67" s="250">
        <v>2</v>
      </c>
      <c r="V67" s="251"/>
      <c r="W67" s="252"/>
      <c r="X67" s="253">
        <v>249.61</v>
      </c>
      <c r="Y67" s="241"/>
      <c r="Z67" s="241"/>
      <c r="AA67" s="242">
        <f>ROUND(X67*U67,2)</f>
        <v>499.22</v>
      </c>
      <c r="AB67" s="243"/>
      <c r="AC67" s="243"/>
      <c r="AD67" s="244"/>
      <c r="AE67" s="245">
        <f>ROUND(X67*(1+AI$18),2)</f>
        <v>308.58999999999997</v>
      </c>
      <c r="AF67" s="246"/>
      <c r="AG67" s="246"/>
      <c r="AH67" s="246">
        <f>U67*AE67</f>
        <v>617.17999999999995</v>
      </c>
      <c r="AI67" s="246"/>
      <c r="AJ67" s="246"/>
      <c r="AK67" s="246"/>
      <c r="AL67" s="246"/>
      <c r="AM67" s="247"/>
      <c r="AP67" s="42"/>
      <c r="AT67" s="4"/>
      <c r="AU67" s="9"/>
      <c r="AV67" s="9"/>
      <c r="AW67" s="179"/>
      <c r="AX67" s="179"/>
      <c r="AY67" s="179"/>
    </row>
    <row r="68" spans="1:51" s="52" customFormat="1" ht="50.1" customHeight="1" x14ac:dyDescent="0.25">
      <c r="A68" s="112" t="s">
        <v>154</v>
      </c>
      <c r="B68" s="248">
        <v>5213855</v>
      </c>
      <c r="C68" s="249"/>
      <c r="D68" s="230" t="s">
        <v>229</v>
      </c>
      <c r="E68" s="231"/>
      <c r="F68" s="232" t="s">
        <v>244</v>
      </c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4"/>
      <c r="S68" s="235" t="s">
        <v>56</v>
      </c>
      <c r="T68" s="236"/>
      <c r="U68" s="250">
        <v>2</v>
      </c>
      <c r="V68" s="251"/>
      <c r="W68" s="252"/>
      <c r="X68" s="253">
        <v>414.56</v>
      </c>
      <c r="Y68" s="241"/>
      <c r="Z68" s="241"/>
      <c r="AA68" s="242">
        <f>ROUND(X68*U68,2)</f>
        <v>829.12</v>
      </c>
      <c r="AB68" s="243"/>
      <c r="AC68" s="243"/>
      <c r="AD68" s="244"/>
      <c r="AE68" s="245">
        <f>ROUND(X68*(1+AI$18),2)</f>
        <v>512.52</v>
      </c>
      <c r="AF68" s="246"/>
      <c r="AG68" s="246"/>
      <c r="AH68" s="246">
        <f>U68*AE68</f>
        <v>1025.04</v>
      </c>
      <c r="AI68" s="246"/>
      <c r="AJ68" s="246"/>
      <c r="AK68" s="246"/>
      <c r="AL68" s="246"/>
      <c r="AM68" s="247"/>
      <c r="AP68" s="42"/>
      <c r="AT68" s="4"/>
      <c r="AU68" s="9"/>
      <c r="AV68" s="9"/>
      <c r="AW68" s="224"/>
      <c r="AX68" s="224"/>
      <c r="AY68" s="224"/>
    </row>
    <row r="69" spans="1:51" s="52" customFormat="1" ht="50.1" customHeight="1" x14ac:dyDescent="0.25">
      <c r="A69" s="112" t="s">
        <v>161</v>
      </c>
      <c r="B69" s="248">
        <v>5213440</v>
      </c>
      <c r="C69" s="249"/>
      <c r="D69" s="230" t="s">
        <v>229</v>
      </c>
      <c r="E69" s="231"/>
      <c r="F69" s="232" t="s">
        <v>242</v>
      </c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4"/>
      <c r="S69" s="235" t="s">
        <v>56</v>
      </c>
      <c r="T69" s="236"/>
      <c r="U69" s="250">
        <v>7</v>
      </c>
      <c r="V69" s="251"/>
      <c r="W69" s="252"/>
      <c r="X69" s="253">
        <v>249.56</v>
      </c>
      <c r="Y69" s="241"/>
      <c r="Z69" s="241"/>
      <c r="AA69" s="242">
        <f t="shared" ref="AA69:AA71" si="19">ROUND(X69*U69,2)</f>
        <v>1746.92</v>
      </c>
      <c r="AB69" s="243"/>
      <c r="AC69" s="243"/>
      <c r="AD69" s="244"/>
      <c r="AE69" s="245">
        <f t="shared" ref="AE69:AE71" si="20">ROUND(X69*(1+AI$18),2)</f>
        <v>308.52999999999997</v>
      </c>
      <c r="AF69" s="246"/>
      <c r="AG69" s="246"/>
      <c r="AH69" s="246">
        <f t="shared" ref="AH69:AH71" si="21">U69*AE69</f>
        <v>2159.71</v>
      </c>
      <c r="AI69" s="246"/>
      <c r="AJ69" s="246"/>
      <c r="AK69" s="246"/>
      <c r="AL69" s="246"/>
      <c r="AM69" s="247"/>
      <c r="AP69" s="42"/>
      <c r="AT69" s="4"/>
      <c r="AU69" s="9"/>
      <c r="AV69" s="9"/>
      <c r="AW69" s="179"/>
      <c r="AX69" s="179"/>
      <c r="AY69" s="179"/>
    </row>
    <row r="70" spans="1:51" s="52" customFormat="1" ht="50.1" customHeight="1" x14ac:dyDescent="0.25">
      <c r="A70" s="112" t="s">
        <v>162</v>
      </c>
      <c r="B70" s="248">
        <v>5213859</v>
      </c>
      <c r="C70" s="249"/>
      <c r="D70" s="230" t="s">
        <v>229</v>
      </c>
      <c r="E70" s="231"/>
      <c r="F70" s="232" t="s">
        <v>245</v>
      </c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4"/>
      <c r="S70" s="235" t="s">
        <v>56</v>
      </c>
      <c r="T70" s="236"/>
      <c r="U70" s="250">
        <v>7</v>
      </c>
      <c r="V70" s="251"/>
      <c r="W70" s="252"/>
      <c r="X70" s="253">
        <v>456.85</v>
      </c>
      <c r="Y70" s="241"/>
      <c r="Z70" s="241"/>
      <c r="AA70" s="242">
        <f t="shared" ref="AA70" si="22">ROUND(X70*U70,2)</f>
        <v>3197.95</v>
      </c>
      <c r="AB70" s="243"/>
      <c r="AC70" s="243"/>
      <c r="AD70" s="244"/>
      <c r="AE70" s="245">
        <f t="shared" ref="AE70" si="23">ROUND(X70*(1+AI$18),2)</f>
        <v>564.79999999999995</v>
      </c>
      <c r="AF70" s="246"/>
      <c r="AG70" s="246"/>
      <c r="AH70" s="246">
        <f t="shared" ref="AH70" si="24">U70*AE70</f>
        <v>3953.5999999999995</v>
      </c>
      <c r="AI70" s="246"/>
      <c r="AJ70" s="246"/>
      <c r="AK70" s="246"/>
      <c r="AL70" s="246"/>
      <c r="AM70" s="247"/>
      <c r="AP70" s="42"/>
      <c r="AT70" s="4"/>
      <c r="AU70" s="9"/>
      <c r="AV70" s="9"/>
      <c r="AW70" s="224"/>
      <c r="AX70" s="224"/>
      <c r="AY70" s="224"/>
    </row>
    <row r="71" spans="1:51" s="52" customFormat="1" ht="50.1" customHeight="1" x14ac:dyDescent="0.25">
      <c r="A71" s="112" t="s">
        <v>163</v>
      </c>
      <c r="B71" s="248">
        <v>5213445</v>
      </c>
      <c r="C71" s="249"/>
      <c r="D71" s="230" t="s">
        <v>229</v>
      </c>
      <c r="E71" s="231"/>
      <c r="F71" s="232" t="s">
        <v>243</v>
      </c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4"/>
      <c r="S71" s="235" t="s">
        <v>56</v>
      </c>
      <c r="T71" s="236"/>
      <c r="U71" s="250">
        <v>4</v>
      </c>
      <c r="V71" s="251"/>
      <c r="W71" s="252"/>
      <c r="X71" s="253">
        <v>428.3</v>
      </c>
      <c r="Y71" s="241"/>
      <c r="Z71" s="241"/>
      <c r="AA71" s="242">
        <f t="shared" si="19"/>
        <v>1713.2</v>
      </c>
      <c r="AB71" s="243"/>
      <c r="AC71" s="243"/>
      <c r="AD71" s="244"/>
      <c r="AE71" s="245">
        <f t="shared" si="20"/>
        <v>529.51</v>
      </c>
      <c r="AF71" s="246"/>
      <c r="AG71" s="246"/>
      <c r="AH71" s="246">
        <f t="shared" si="21"/>
        <v>2118.04</v>
      </c>
      <c r="AI71" s="246"/>
      <c r="AJ71" s="246"/>
      <c r="AK71" s="246"/>
      <c r="AL71" s="246"/>
      <c r="AM71" s="247"/>
      <c r="AP71" s="42"/>
      <c r="AT71" s="4"/>
      <c r="AU71" s="9"/>
      <c r="AV71" s="9"/>
      <c r="AW71" s="179"/>
      <c r="AX71" s="179"/>
      <c r="AY71" s="179"/>
    </row>
    <row r="72" spans="1:51" s="52" customFormat="1" ht="50.1" customHeight="1" x14ac:dyDescent="0.25">
      <c r="A72" s="112" t="s">
        <v>216</v>
      </c>
      <c r="B72" s="248">
        <v>5213856</v>
      </c>
      <c r="C72" s="249"/>
      <c r="D72" s="230" t="s">
        <v>229</v>
      </c>
      <c r="E72" s="231"/>
      <c r="F72" s="232" t="s">
        <v>246</v>
      </c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4"/>
      <c r="S72" s="235" t="s">
        <v>56</v>
      </c>
      <c r="T72" s="236"/>
      <c r="U72" s="250">
        <v>4</v>
      </c>
      <c r="V72" s="251"/>
      <c r="W72" s="252"/>
      <c r="X72" s="253">
        <v>430.15</v>
      </c>
      <c r="Y72" s="241"/>
      <c r="Z72" s="241"/>
      <c r="AA72" s="242">
        <f t="shared" ref="AA72" si="25">ROUND(X72*U72,2)</f>
        <v>1720.6</v>
      </c>
      <c r="AB72" s="243"/>
      <c r="AC72" s="243"/>
      <c r="AD72" s="244"/>
      <c r="AE72" s="245">
        <f t="shared" ref="AE72" si="26">ROUND(X72*(1+AI$18),2)</f>
        <v>531.79</v>
      </c>
      <c r="AF72" s="246"/>
      <c r="AG72" s="246"/>
      <c r="AH72" s="246">
        <f t="shared" ref="AH72" si="27">U72*AE72</f>
        <v>2127.16</v>
      </c>
      <c r="AI72" s="246"/>
      <c r="AJ72" s="246"/>
      <c r="AK72" s="246"/>
      <c r="AL72" s="246"/>
      <c r="AM72" s="247"/>
      <c r="AP72" s="42"/>
      <c r="AT72" s="4"/>
      <c r="AU72" s="9"/>
      <c r="AV72" s="9"/>
      <c r="AW72" s="224"/>
      <c r="AX72" s="224"/>
      <c r="AY72" s="224"/>
    </row>
    <row r="73" spans="1:51" s="52" customFormat="1" ht="50.1" customHeight="1" x14ac:dyDescent="0.25">
      <c r="A73" s="112" t="s">
        <v>247</v>
      </c>
      <c r="B73" s="248">
        <v>5213362</v>
      </c>
      <c r="C73" s="249"/>
      <c r="D73" s="230" t="s">
        <v>229</v>
      </c>
      <c r="E73" s="231"/>
      <c r="F73" s="232" t="s">
        <v>240</v>
      </c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4"/>
      <c r="S73" s="235" t="s">
        <v>180</v>
      </c>
      <c r="T73" s="236"/>
      <c r="U73" s="250">
        <v>72</v>
      </c>
      <c r="V73" s="251"/>
      <c r="W73" s="252"/>
      <c r="X73" s="253">
        <v>92.54</v>
      </c>
      <c r="Y73" s="241"/>
      <c r="Z73" s="241"/>
      <c r="AA73" s="242">
        <f>ROUND(X73*U73,2)</f>
        <v>6662.88</v>
      </c>
      <c r="AB73" s="243"/>
      <c r="AC73" s="243"/>
      <c r="AD73" s="244"/>
      <c r="AE73" s="245">
        <f>ROUND(X73*(1+AI$18),2)</f>
        <v>114.41</v>
      </c>
      <c r="AF73" s="246"/>
      <c r="AG73" s="246"/>
      <c r="AH73" s="246">
        <f>U73*AE73</f>
        <v>8237.52</v>
      </c>
      <c r="AI73" s="246"/>
      <c r="AJ73" s="246"/>
      <c r="AK73" s="246"/>
      <c r="AL73" s="246"/>
      <c r="AM73" s="247"/>
      <c r="AP73" s="42"/>
      <c r="AT73" s="4"/>
      <c r="AU73" s="9"/>
      <c r="AV73" s="9"/>
      <c r="AW73" s="179"/>
      <c r="AX73" s="179"/>
      <c r="AY73" s="179"/>
    </row>
    <row r="74" spans="1:51" s="52" customFormat="1" ht="50.1" customHeight="1" x14ac:dyDescent="0.25">
      <c r="A74" s="112" t="s">
        <v>248</v>
      </c>
      <c r="B74" s="248">
        <v>102508</v>
      </c>
      <c r="C74" s="249"/>
      <c r="D74" s="230" t="s">
        <v>50</v>
      </c>
      <c r="E74" s="231"/>
      <c r="F74" s="232" t="s">
        <v>166</v>
      </c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4"/>
      <c r="S74" s="235" t="s">
        <v>159</v>
      </c>
      <c r="T74" s="236"/>
      <c r="U74" s="250">
        <v>22.5</v>
      </c>
      <c r="V74" s="251"/>
      <c r="W74" s="252"/>
      <c r="X74" s="253">
        <v>46.94</v>
      </c>
      <c r="Y74" s="241"/>
      <c r="Z74" s="241"/>
      <c r="AA74" s="242">
        <f>ROUND(X74*U74,2)</f>
        <v>1056.1500000000001</v>
      </c>
      <c r="AB74" s="243"/>
      <c r="AC74" s="243"/>
      <c r="AD74" s="244"/>
      <c r="AE74" s="245">
        <f>ROUND(X74*(1+AI$18),2)</f>
        <v>58.03</v>
      </c>
      <c r="AF74" s="246"/>
      <c r="AG74" s="246"/>
      <c r="AH74" s="246">
        <f>U74*AE74</f>
        <v>1305.675</v>
      </c>
      <c r="AI74" s="246"/>
      <c r="AJ74" s="246"/>
      <c r="AK74" s="246"/>
      <c r="AL74" s="246"/>
      <c r="AM74" s="247"/>
      <c r="AP74" s="42"/>
      <c r="AT74" s="4"/>
      <c r="AU74" s="9"/>
      <c r="AV74" s="9"/>
      <c r="AW74" s="177"/>
      <c r="AX74" s="177"/>
      <c r="AY74" s="177"/>
    </row>
    <row r="75" spans="1:51" ht="50.1" customHeight="1" x14ac:dyDescent="0.25">
      <c r="A75" s="112"/>
      <c r="B75" s="248"/>
      <c r="C75" s="249"/>
      <c r="D75" s="230"/>
      <c r="E75" s="231"/>
      <c r="F75" s="232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4"/>
      <c r="S75" s="235"/>
      <c r="T75" s="236"/>
      <c r="U75" s="237"/>
      <c r="V75" s="238"/>
      <c r="W75" s="239"/>
      <c r="X75" s="305"/>
      <c r="Y75" s="305"/>
      <c r="Z75" s="305"/>
      <c r="AA75" s="306"/>
      <c r="AB75" s="307"/>
      <c r="AC75" s="307"/>
      <c r="AD75" s="308"/>
      <c r="AE75" s="245"/>
      <c r="AF75" s="246"/>
      <c r="AG75" s="246"/>
      <c r="AH75" s="302"/>
      <c r="AI75" s="303"/>
      <c r="AJ75" s="303"/>
      <c r="AK75" s="303"/>
      <c r="AL75" s="303"/>
      <c r="AM75" s="304"/>
      <c r="AP75" s="42"/>
      <c r="AU75" s="9"/>
      <c r="AV75" s="9"/>
      <c r="AW75" s="301"/>
      <c r="AX75" s="301"/>
      <c r="AY75" s="301"/>
    </row>
    <row r="76" spans="1:51" ht="50.1" customHeight="1" x14ac:dyDescent="0.25">
      <c r="A76" s="112"/>
      <c r="B76" s="248"/>
      <c r="C76" s="249"/>
      <c r="D76" s="312"/>
      <c r="E76" s="255"/>
      <c r="F76" s="296" t="s">
        <v>69</v>
      </c>
      <c r="G76" s="297"/>
      <c r="H76" s="297"/>
      <c r="I76" s="297"/>
      <c r="J76" s="297"/>
      <c r="K76" s="297"/>
      <c r="L76" s="297"/>
      <c r="M76" s="297"/>
      <c r="N76" s="297"/>
      <c r="O76" s="297"/>
      <c r="P76" s="297"/>
      <c r="Q76" s="297"/>
      <c r="R76" s="298"/>
      <c r="S76" s="235"/>
      <c r="T76" s="236"/>
      <c r="U76" s="237"/>
      <c r="V76" s="238"/>
      <c r="W76" s="239"/>
      <c r="X76" s="305"/>
      <c r="Y76" s="305"/>
      <c r="Z76" s="305"/>
      <c r="AA76" s="306">
        <f>SUM(AA65:AD75)</f>
        <v>35173.029199999997</v>
      </c>
      <c r="AB76" s="307"/>
      <c r="AC76" s="307"/>
      <c r="AD76" s="308"/>
      <c r="AE76" s="245"/>
      <c r="AF76" s="246"/>
      <c r="AG76" s="246"/>
      <c r="AH76" s="302">
        <f>SUM(AH65:AN75)</f>
        <v>43484.425800000012</v>
      </c>
      <c r="AI76" s="303"/>
      <c r="AJ76" s="303"/>
      <c r="AK76" s="303"/>
      <c r="AL76" s="303"/>
      <c r="AM76" s="304"/>
      <c r="AP76" s="42"/>
      <c r="AU76" s="9"/>
      <c r="AV76" s="9"/>
      <c r="AW76" s="301"/>
      <c r="AX76" s="301"/>
      <c r="AY76" s="301"/>
    </row>
    <row r="77" spans="1:51" ht="50.1" customHeight="1" x14ac:dyDescent="0.25">
      <c r="A77" s="117">
        <v>6</v>
      </c>
      <c r="B77" s="287"/>
      <c r="C77" s="288"/>
      <c r="D77" s="289"/>
      <c r="E77" s="290"/>
      <c r="F77" s="291" t="s">
        <v>70</v>
      </c>
      <c r="G77" s="292"/>
      <c r="H77" s="292"/>
      <c r="I77" s="292"/>
      <c r="J77" s="292"/>
      <c r="K77" s="292"/>
      <c r="L77" s="292"/>
      <c r="M77" s="292"/>
      <c r="N77" s="292"/>
      <c r="O77" s="292"/>
      <c r="P77" s="292"/>
      <c r="Q77" s="292"/>
      <c r="R77" s="293"/>
      <c r="S77" s="294"/>
      <c r="T77" s="295"/>
      <c r="U77" s="316"/>
      <c r="V77" s="317"/>
      <c r="W77" s="318"/>
      <c r="X77" s="319"/>
      <c r="Y77" s="320"/>
      <c r="Z77" s="321"/>
      <c r="AA77" s="279"/>
      <c r="AB77" s="280"/>
      <c r="AC77" s="280"/>
      <c r="AD77" s="281"/>
      <c r="AE77" s="309"/>
      <c r="AF77" s="310"/>
      <c r="AG77" s="310"/>
      <c r="AH77" s="310"/>
      <c r="AI77" s="310"/>
      <c r="AJ77" s="310"/>
      <c r="AK77" s="310"/>
      <c r="AL77" s="310"/>
      <c r="AM77" s="311"/>
      <c r="AP77" s="42"/>
      <c r="AU77" s="9"/>
      <c r="AV77" s="9"/>
      <c r="AW77" s="301"/>
      <c r="AX77" s="301"/>
      <c r="AY77" s="301"/>
    </row>
    <row r="78" spans="1:51" ht="50.1" customHeight="1" x14ac:dyDescent="0.25">
      <c r="A78" s="112" t="s">
        <v>185</v>
      </c>
      <c r="B78" s="248">
        <v>92396</v>
      </c>
      <c r="C78" s="249"/>
      <c r="D78" s="254" t="s">
        <v>50</v>
      </c>
      <c r="E78" s="255"/>
      <c r="F78" s="232" t="s">
        <v>181</v>
      </c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4"/>
      <c r="S78" s="235" t="s">
        <v>159</v>
      </c>
      <c r="T78" s="236"/>
      <c r="U78" s="256">
        <v>1531.91</v>
      </c>
      <c r="V78" s="257"/>
      <c r="W78" s="258"/>
      <c r="X78" s="253">
        <v>71.44</v>
      </c>
      <c r="Y78" s="241"/>
      <c r="Z78" s="259"/>
      <c r="AA78" s="242">
        <f>ROUND(X78*U78,2)</f>
        <v>109439.65</v>
      </c>
      <c r="AB78" s="243"/>
      <c r="AC78" s="243"/>
      <c r="AD78" s="244"/>
      <c r="AE78" s="245">
        <f>ROUND(X78*(1+AI$18),2)</f>
        <v>88.32</v>
      </c>
      <c r="AF78" s="246"/>
      <c r="AG78" s="246"/>
      <c r="AH78" s="246">
        <f t="shared" ref="AH78:AH91" si="28">U78*AE78</f>
        <v>135298.29120000001</v>
      </c>
      <c r="AI78" s="246"/>
      <c r="AJ78" s="246"/>
      <c r="AK78" s="246"/>
      <c r="AL78" s="246"/>
      <c r="AM78" s="247"/>
      <c r="AP78" s="50"/>
      <c r="AU78" s="9"/>
      <c r="AV78" s="9"/>
      <c r="AW78" s="301"/>
      <c r="AX78" s="301"/>
      <c r="AY78" s="301"/>
    </row>
    <row r="79" spans="1:51" s="52" customFormat="1" ht="50.1" customHeight="1" x14ac:dyDescent="0.25">
      <c r="A79" s="112" t="s">
        <v>186</v>
      </c>
      <c r="B79" s="248">
        <v>100621</v>
      </c>
      <c r="C79" s="249"/>
      <c r="D79" s="254" t="s">
        <v>50</v>
      </c>
      <c r="E79" s="255"/>
      <c r="F79" s="232" t="s">
        <v>156</v>
      </c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4"/>
      <c r="S79" s="235" t="s">
        <v>56</v>
      </c>
      <c r="T79" s="236"/>
      <c r="U79" s="256">
        <v>14</v>
      </c>
      <c r="V79" s="257"/>
      <c r="W79" s="258"/>
      <c r="X79" s="253">
        <v>3303.65</v>
      </c>
      <c r="Y79" s="241"/>
      <c r="Z79" s="259"/>
      <c r="AA79" s="242">
        <f t="shared" ref="AA79:AA80" si="29">ROUND(X79*U79,2)</f>
        <v>46251.1</v>
      </c>
      <c r="AB79" s="243"/>
      <c r="AC79" s="243"/>
      <c r="AD79" s="244"/>
      <c r="AE79" s="245">
        <f t="shared" ref="AE79:AE80" si="30">ROUND(X79*(1+AI$18),2)</f>
        <v>4084.3</v>
      </c>
      <c r="AF79" s="246"/>
      <c r="AG79" s="246"/>
      <c r="AH79" s="246">
        <f t="shared" si="28"/>
        <v>57180.200000000004</v>
      </c>
      <c r="AI79" s="246"/>
      <c r="AJ79" s="246"/>
      <c r="AK79" s="246"/>
      <c r="AL79" s="246"/>
      <c r="AM79" s="247"/>
      <c r="AP79" s="50"/>
      <c r="AT79" s="4"/>
      <c r="AU79" s="9"/>
      <c r="AV79" s="9"/>
      <c r="AW79" s="175"/>
      <c r="AX79" s="175"/>
      <c r="AY79" s="175"/>
    </row>
    <row r="80" spans="1:51" s="52" customFormat="1" ht="50.1" customHeight="1" x14ac:dyDescent="0.25">
      <c r="A80" s="112" t="s">
        <v>187</v>
      </c>
      <c r="B80" s="248">
        <v>101657</v>
      </c>
      <c r="C80" s="249"/>
      <c r="D80" s="254" t="s">
        <v>50</v>
      </c>
      <c r="E80" s="255"/>
      <c r="F80" s="232" t="s">
        <v>157</v>
      </c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4"/>
      <c r="S80" s="235" t="s">
        <v>56</v>
      </c>
      <c r="T80" s="236"/>
      <c r="U80" s="256">
        <v>28</v>
      </c>
      <c r="V80" s="257"/>
      <c r="W80" s="258"/>
      <c r="X80" s="253">
        <v>585.20000000000005</v>
      </c>
      <c r="Y80" s="241"/>
      <c r="Z80" s="259"/>
      <c r="AA80" s="242">
        <f t="shared" si="29"/>
        <v>16385.599999999999</v>
      </c>
      <c r="AB80" s="243"/>
      <c r="AC80" s="243"/>
      <c r="AD80" s="244"/>
      <c r="AE80" s="245">
        <f t="shared" si="30"/>
        <v>723.48</v>
      </c>
      <c r="AF80" s="246"/>
      <c r="AG80" s="246"/>
      <c r="AH80" s="246">
        <f t="shared" si="28"/>
        <v>20257.440000000002</v>
      </c>
      <c r="AI80" s="246"/>
      <c r="AJ80" s="246"/>
      <c r="AK80" s="246"/>
      <c r="AL80" s="246"/>
      <c r="AM80" s="247"/>
      <c r="AP80" s="50"/>
      <c r="AT80" s="4"/>
      <c r="AU80" s="9"/>
      <c r="AV80" s="9"/>
      <c r="AW80" s="175"/>
      <c r="AX80" s="175"/>
      <c r="AY80" s="175"/>
    </row>
    <row r="81" spans="1:51" s="52" customFormat="1" ht="50.1" customHeight="1" x14ac:dyDescent="0.25">
      <c r="A81" s="112" t="s">
        <v>188</v>
      </c>
      <c r="B81" s="248">
        <v>92982</v>
      </c>
      <c r="C81" s="249"/>
      <c r="D81" s="254" t="s">
        <v>50</v>
      </c>
      <c r="E81" s="255"/>
      <c r="F81" s="232" t="s">
        <v>233</v>
      </c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4"/>
      <c r="S81" s="235" t="s">
        <v>158</v>
      </c>
      <c r="T81" s="236"/>
      <c r="U81" s="256">
        <v>1071.8800000000001</v>
      </c>
      <c r="V81" s="257"/>
      <c r="W81" s="258"/>
      <c r="X81" s="253">
        <v>13.87</v>
      </c>
      <c r="Y81" s="241"/>
      <c r="Z81" s="259"/>
      <c r="AA81" s="242">
        <f t="shared" ref="AA81" si="31">ROUND(X81*U81,2)</f>
        <v>14866.98</v>
      </c>
      <c r="AB81" s="243"/>
      <c r="AC81" s="243"/>
      <c r="AD81" s="244"/>
      <c r="AE81" s="245">
        <f t="shared" ref="AE81" si="32">ROUND(X81*(1+AI$18),2)</f>
        <v>17.149999999999999</v>
      </c>
      <c r="AF81" s="246"/>
      <c r="AG81" s="246"/>
      <c r="AH81" s="246">
        <f t="shared" si="28"/>
        <v>18382.742000000002</v>
      </c>
      <c r="AI81" s="246"/>
      <c r="AJ81" s="246"/>
      <c r="AK81" s="246"/>
      <c r="AL81" s="246"/>
      <c r="AM81" s="247"/>
      <c r="AP81" s="50"/>
      <c r="AT81" s="4"/>
      <c r="AU81" s="9"/>
      <c r="AV81" s="9"/>
      <c r="AW81" s="175"/>
      <c r="AX81" s="175"/>
      <c r="AY81" s="175"/>
    </row>
    <row r="82" spans="1:51" s="52" customFormat="1" ht="50.1" customHeight="1" x14ac:dyDescent="0.25">
      <c r="A82" s="112" t="s">
        <v>189</v>
      </c>
      <c r="B82" s="248">
        <v>101632</v>
      </c>
      <c r="C82" s="249"/>
      <c r="D82" s="254" t="s">
        <v>50</v>
      </c>
      <c r="E82" s="255"/>
      <c r="F82" s="232" t="s">
        <v>234</v>
      </c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4"/>
      <c r="S82" s="235" t="s">
        <v>56</v>
      </c>
      <c r="T82" s="236"/>
      <c r="U82" s="256">
        <v>14</v>
      </c>
      <c r="V82" s="257"/>
      <c r="W82" s="258"/>
      <c r="X82" s="253">
        <v>38.229999999999997</v>
      </c>
      <c r="Y82" s="241"/>
      <c r="Z82" s="259"/>
      <c r="AA82" s="242">
        <f t="shared" ref="AA82:AA85" si="33">ROUND(X82*U82,2)</f>
        <v>535.22</v>
      </c>
      <c r="AB82" s="243"/>
      <c r="AC82" s="243"/>
      <c r="AD82" s="244"/>
      <c r="AE82" s="245">
        <f t="shared" ref="AE82:AE85" si="34">ROUND(X82*(1+AI$18),2)</f>
        <v>47.26</v>
      </c>
      <c r="AF82" s="246"/>
      <c r="AG82" s="246"/>
      <c r="AH82" s="246">
        <f t="shared" ref="AH82:AH85" si="35">U82*AE82</f>
        <v>661.64</v>
      </c>
      <c r="AI82" s="246"/>
      <c r="AJ82" s="246"/>
      <c r="AK82" s="246"/>
      <c r="AL82" s="246"/>
      <c r="AM82" s="247"/>
      <c r="AP82" s="50"/>
      <c r="AT82" s="4"/>
      <c r="AU82" s="9"/>
      <c r="AV82" s="9"/>
      <c r="AW82" s="179"/>
      <c r="AX82" s="179"/>
      <c r="AY82" s="179"/>
    </row>
    <row r="83" spans="1:51" s="52" customFormat="1" ht="50.1" customHeight="1" x14ac:dyDescent="0.25">
      <c r="A83" s="112" t="s">
        <v>190</v>
      </c>
      <c r="B83" s="248">
        <v>97667</v>
      </c>
      <c r="C83" s="249"/>
      <c r="D83" s="254" t="s">
        <v>50</v>
      </c>
      <c r="E83" s="255"/>
      <c r="F83" s="232" t="s">
        <v>235</v>
      </c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4"/>
      <c r="S83" s="235" t="s">
        <v>158</v>
      </c>
      <c r="T83" s="236"/>
      <c r="U83" s="256">
        <v>1071.8800000000001</v>
      </c>
      <c r="V83" s="257"/>
      <c r="W83" s="258"/>
      <c r="X83" s="253">
        <v>8.5299999999999994</v>
      </c>
      <c r="Y83" s="241"/>
      <c r="Z83" s="259"/>
      <c r="AA83" s="242">
        <f t="shared" si="33"/>
        <v>9143.14</v>
      </c>
      <c r="AB83" s="243"/>
      <c r="AC83" s="243"/>
      <c r="AD83" s="244"/>
      <c r="AE83" s="245">
        <f t="shared" si="34"/>
        <v>10.55</v>
      </c>
      <c r="AF83" s="246"/>
      <c r="AG83" s="246"/>
      <c r="AH83" s="246">
        <f t="shared" si="35"/>
        <v>11308.334000000003</v>
      </c>
      <c r="AI83" s="246"/>
      <c r="AJ83" s="246"/>
      <c r="AK83" s="246"/>
      <c r="AL83" s="246"/>
      <c r="AM83" s="247"/>
      <c r="AP83" s="50"/>
      <c r="AT83" s="4"/>
      <c r="AU83" s="9"/>
      <c r="AV83" s="9"/>
      <c r="AW83" s="179"/>
      <c r="AX83" s="179"/>
      <c r="AY83" s="179"/>
    </row>
    <row r="84" spans="1:51" s="52" customFormat="1" ht="50.1" customHeight="1" x14ac:dyDescent="0.25">
      <c r="A84" s="112" t="s">
        <v>191</v>
      </c>
      <c r="B84" s="248">
        <v>101502</v>
      </c>
      <c r="C84" s="249"/>
      <c r="D84" s="254" t="s">
        <v>50</v>
      </c>
      <c r="E84" s="255"/>
      <c r="F84" s="232" t="s">
        <v>237</v>
      </c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4"/>
      <c r="S84" s="235" t="s">
        <v>56</v>
      </c>
      <c r="T84" s="236"/>
      <c r="U84" s="256">
        <v>1</v>
      </c>
      <c r="V84" s="257"/>
      <c r="W84" s="258"/>
      <c r="X84" s="253">
        <v>1779.3</v>
      </c>
      <c r="Y84" s="241"/>
      <c r="Z84" s="259"/>
      <c r="AA84" s="242">
        <f t="shared" si="33"/>
        <v>1779.3</v>
      </c>
      <c r="AB84" s="243"/>
      <c r="AC84" s="243"/>
      <c r="AD84" s="244"/>
      <c r="AE84" s="245">
        <f t="shared" si="34"/>
        <v>2199.75</v>
      </c>
      <c r="AF84" s="246"/>
      <c r="AG84" s="246"/>
      <c r="AH84" s="246">
        <f t="shared" si="35"/>
        <v>2199.75</v>
      </c>
      <c r="AI84" s="246"/>
      <c r="AJ84" s="246"/>
      <c r="AK84" s="246"/>
      <c r="AL84" s="246"/>
      <c r="AM84" s="247"/>
      <c r="AP84" s="50"/>
      <c r="AT84" s="4"/>
      <c r="AU84" s="9"/>
      <c r="AV84" s="9"/>
      <c r="AW84" s="179"/>
      <c r="AX84" s="179"/>
      <c r="AY84" s="179"/>
    </row>
    <row r="85" spans="1:51" s="52" customFormat="1" ht="50.1" customHeight="1" x14ac:dyDescent="0.25">
      <c r="A85" s="112" t="s">
        <v>192</v>
      </c>
      <c r="B85" s="248">
        <v>97881</v>
      </c>
      <c r="C85" s="249"/>
      <c r="D85" s="254" t="s">
        <v>50</v>
      </c>
      <c r="E85" s="255"/>
      <c r="F85" s="232" t="s">
        <v>236</v>
      </c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4"/>
      <c r="S85" s="235" t="s">
        <v>56</v>
      </c>
      <c r="T85" s="236"/>
      <c r="U85" s="256">
        <v>14</v>
      </c>
      <c r="V85" s="257"/>
      <c r="W85" s="258"/>
      <c r="X85" s="253">
        <v>145.69999999999999</v>
      </c>
      <c r="Y85" s="241"/>
      <c r="Z85" s="259"/>
      <c r="AA85" s="242">
        <f t="shared" si="33"/>
        <v>2039.8</v>
      </c>
      <c r="AB85" s="243"/>
      <c r="AC85" s="243"/>
      <c r="AD85" s="244"/>
      <c r="AE85" s="245">
        <f t="shared" si="34"/>
        <v>180.13</v>
      </c>
      <c r="AF85" s="246"/>
      <c r="AG85" s="246"/>
      <c r="AH85" s="246">
        <f t="shared" si="35"/>
        <v>2521.8199999999997</v>
      </c>
      <c r="AI85" s="246"/>
      <c r="AJ85" s="246"/>
      <c r="AK85" s="246"/>
      <c r="AL85" s="246"/>
      <c r="AM85" s="247"/>
      <c r="AP85" s="50"/>
      <c r="AT85" s="4"/>
      <c r="AU85" s="9"/>
      <c r="AV85" s="9"/>
      <c r="AW85" s="179"/>
      <c r="AX85" s="179"/>
      <c r="AY85" s="179"/>
    </row>
    <row r="86" spans="1:51" s="52" customFormat="1" ht="50.1" customHeight="1" x14ac:dyDescent="0.25">
      <c r="A86" s="112" t="s">
        <v>193</v>
      </c>
      <c r="B86" s="248">
        <v>96985</v>
      </c>
      <c r="C86" s="249"/>
      <c r="D86" s="254" t="s">
        <v>50</v>
      </c>
      <c r="E86" s="255"/>
      <c r="F86" s="232" t="s">
        <v>231</v>
      </c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4"/>
      <c r="S86" s="235" t="s">
        <v>56</v>
      </c>
      <c r="T86" s="236"/>
      <c r="U86" s="256">
        <v>14</v>
      </c>
      <c r="V86" s="257"/>
      <c r="W86" s="258"/>
      <c r="X86" s="253">
        <v>111.15</v>
      </c>
      <c r="Y86" s="241"/>
      <c r="Z86" s="259"/>
      <c r="AA86" s="242">
        <f t="shared" ref="AA86" si="36">ROUND(X86*U86,2)</f>
        <v>1556.1</v>
      </c>
      <c r="AB86" s="243"/>
      <c r="AC86" s="243"/>
      <c r="AD86" s="244"/>
      <c r="AE86" s="245">
        <f t="shared" ref="AE86" si="37">ROUND(X86*(1+AI$18),2)</f>
        <v>137.41</v>
      </c>
      <c r="AF86" s="246"/>
      <c r="AG86" s="246"/>
      <c r="AH86" s="246">
        <f t="shared" ref="AH86" si="38">U86*AE86</f>
        <v>1923.74</v>
      </c>
      <c r="AI86" s="246"/>
      <c r="AJ86" s="246"/>
      <c r="AK86" s="246"/>
      <c r="AL86" s="246"/>
      <c r="AM86" s="247"/>
      <c r="AP86" s="50"/>
      <c r="AT86" s="4"/>
      <c r="AU86" s="9"/>
      <c r="AV86" s="9"/>
      <c r="AW86" s="179"/>
      <c r="AX86" s="179"/>
      <c r="AY86" s="179"/>
    </row>
    <row r="87" spans="1:51" s="52" customFormat="1" ht="50.1" customHeight="1" x14ac:dyDescent="0.25">
      <c r="A87" s="112" t="s">
        <v>194</v>
      </c>
      <c r="B87" s="248">
        <v>101878</v>
      </c>
      <c r="C87" s="249"/>
      <c r="D87" s="254" t="s">
        <v>50</v>
      </c>
      <c r="E87" s="255"/>
      <c r="F87" s="232" t="s">
        <v>249</v>
      </c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4"/>
      <c r="S87" s="235" t="s">
        <v>56</v>
      </c>
      <c r="T87" s="236"/>
      <c r="U87" s="256">
        <v>1</v>
      </c>
      <c r="V87" s="257"/>
      <c r="W87" s="258"/>
      <c r="X87" s="253">
        <v>527.41999999999996</v>
      </c>
      <c r="Y87" s="241"/>
      <c r="Z87" s="259"/>
      <c r="AA87" s="242">
        <f t="shared" ref="AA87" si="39">ROUND(X87*U87,2)</f>
        <v>527.41999999999996</v>
      </c>
      <c r="AB87" s="243"/>
      <c r="AC87" s="243"/>
      <c r="AD87" s="244"/>
      <c r="AE87" s="245">
        <f t="shared" ref="AE87" si="40">ROUND(X87*(1+AI$18),2)</f>
        <v>652.04999999999995</v>
      </c>
      <c r="AF87" s="246"/>
      <c r="AG87" s="246"/>
      <c r="AH87" s="246">
        <f t="shared" ref="AH87" si="41">U87*AE87</f>
        <v>652.04999999999995</v>
      </c>
      <c r="AI87" s="246"/>
      <c r="AJ87" s="246"/>
      <c r="AK87" s="246"/>
      <c r="AL87" s="246"/>
      <c r="AM87" s="247"/>
      <c r="AP87" s="50"/>
      <c r="AT87" s="4"/>
      <c r="AU87" s="9"/>
      <c r="AV87" s="9"/>
      <c r="AW87" s="225"/>
      <c r="AX87" s="225"/>
      <c r="AY87" s="225"/>
    </row>
    <row r="88" spans="1:51" s="52" customFormat="1" ht="50.1" customHeight="1" x14ac:dyDescent="0.25">
      <c r="A88" s="112" t="s">
        <v>195</v>
      </c>
      <c r="B88" s="248">
        <v>98111</v>
      </c>
      <c r="C88" s="249"/>
      <c r="D88" s="254" t="s">
        <v>50</v>
      </c>
      <c r="E88" s="255"/>
      <c r="F88" s="232" t="s">
        <v>232</v>
      </c>
      <c r="G88" s="233"/>
      <c r="H88" s="233"/>
      <c r="I88" s="233"/>
      <c r="J88" s="233"/>
      <c r="K88" s="233"/>
      <c r="L88" s="233"/>
      <c r="M88" s="233"/>
      <c r="N88" s="233"/>
      <c r="O88" s="233"/>
      <c r="P88" s="233"/>
      <c r="Q88" s="233"/>
      <c r="R88" s="234"/>
      <c r="S88" s="235" t="s">
        <v>56</v>
      </c>
      <c r="T88" s="236"/>
      <c r="U88" s="256">
        <v>14</v>
      </c>
      <c r="V88" s="257"/>
      <c r="W88" s="258"/>
      <c r="X88" s="253">
        <v>45.5</v>
      </c>
      <c r="Y88" s="241"/>
      <c r="Z88" s="259"/>
      <c r="AA88" s="242">
        <f t="shared" ref="AA88" si="42">ROUND(X88*U88,2)</f>
        <v>637</v>
      </c>
      <c r="AB88" s="243"/>
      <c r="AC88" s="243"/>
      <c r="AD88" s="244"/>
      <c r="AE88" s="245">
        <f t="shared" ref="AE88" si="43">ROUND(X88*(1+AI$18),2)</f>
        <v>56.25</v>
      </c>
      <c r="AF88" s="246"/>
      <c r="AG88" s="246"/>
      <c r="AH88" s="246">
        <f t="shared" ref="AH88" si="44">U88*AE88</f>
        <v>787.5</v>
      </c>
      <c r="AI88" s="246"/>
      <c r="AJ88" s="246"/>
      <c r="AK88" s="246"/>
      <c r="AL88" s="246"/>
      <c r="AM88" s="247"/>
      <c r="AP88" s="50"/>
      <c r="AT88" s="4"/>
      <c r="AU88" s="9"/>
      <c r="AV88" s="9"/>
      <c r="AW88" s="224"/>
      <c r="AX88" s="224"/>
      <c r="AY88" s="224"/>
    </row>
    <row r="89" spans="1:51" s="52" customFormat="1" ht="50.1" customHeight="1" x14ac:dyDescent="0.25">
      <c r="A89" s="112" t="s">
        <v>217</v>
      </c>
      <c r="B89" s="248">
        <v>96977</v>
      </c>
      <c r="C89" s="249"/>
      <c r="D89" s="254" t="s">
        <v>50</v>
      </c>
      <c r="E89" s="255"/>
      <c r="F89" s="232" t="s">
        <v>253</v>
      </c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4"/>
      <c r="S89" s="235" t="s">
        <v>158</v>
      </c>
      <c r="T89" s="236"/>
      <c r="U89" s="256">
        <v>8.4</v>
      </c>
      <c r="V89" s="257"/>
      <c r="W89" s="258"/>
      <c r="X89" s="253">
        <v>47.6</v>
      </c>
      <c r="Y89" s="241"/>
      <c r="Z89" s="259"/>
      <c r="AA89" s="242">
        <f t="shared" ref="AA89" si="45">ROUND(X89*U89,2)</f>
        <v>399.84</v>
      </c>
      <c r="AB89" s="243"/>
      <c r="AC89" s="243"/>
      <c r="AD89" s="244"/>
      <c r="AE89" s="245">
        <f t="shared" ref="AE89" si="46">ROUND(X89*(1+AI$18),2)</f>
        <v>58.85</v>
      </c>
      <c r="AF89" s="246"/>
      <c r="AG89" s="246"/>
      <c r="AH89" s="246">
        <f t="shared" ref="AH89" si="47">U89*AE89</f>
        <v>494.34000000000003</v>
      </c>
      <c r="AI89" s="246"/>
      <c r="AJ89" s="246"/>
      <c r="AK89" s="246"/>
      <c r="AL89" s="246"/>
      <c r="AM89" s="247"/>
      <c r="AP89" s="50"/>
      <c r="AT89" s="4"/>
      <c r="AU89" s="9"/>
      <c r="AV89" s="9"/>
      <c r="AW89" s="225"/>
      <c r="AX89" s="225"/>
      <c r="AY89" s="225"/>
    </row>
    <row r="90" spans="1:51" s="52" customFormat="1" ht="50.1" customHeight="1" x14ac:dyDescent="0.25">
      <c r="A90" s="112" t="s">
        <v>219</v>
      </c>
      <c r="B90" s="248">
        <v>104658</v>
      </c>
      <c r="C90" s="249"/>
      <c r="D90" s="254" t="s">
        <v>50</v>
      </c>
      <c r="E90" s="255"/>
      <c r="F90" s="232" t="s">
        <v>230</v>
      </c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4"/>
      <c r="S90" s="235" t="s">
        <v>159</v>
      </c>
      <c r="T90" s="236"/>
      <c r="U90" s="256">
        <v>364.64</v>
      </c>
      <c r="V90" s="257"/>
      <c r="W90" s="258"/>
      <c r="X90" s="253">
        <v>133.47</v>
      </c>
      <c r="Y90" s="241"/>
      <c r="Z90" s="259"/>
      <c r="AA90" s="242">
        <f t="shared" ref="AA90" si="48">ROUND(X90*U90,2)</f>
        <v>48668.5</v>
      </c>
      <c r="AB90" s="243"/>
      <c r="AC90" s="243"/>
      <c r="AD90" s="244"/>
      <c r="AE90" s="245">
        <f t="shared" ref="AE90" si="49">ROUND(X90*(1+AI$18),2)</f>
        <v>165.01</v>
      </c>
      <c r="AF90" s="246"/>
      <c r="AG90" s="246"/>
      <c r="AH90" s="246">
        <f t="shared" si="28"/>
        <v>60169.246399999996</v>
      </c>
      <c r="AI90" s="246"/>
      <c r="AJ90" s="246"/>
      <c r="AK90" s="246"/>
      <c r="AL90" s="246"/>
      <c r="AM90" s="247"/>
      <c r="AP90" s="50"/>
      <c r="AT90" s="4"/>
      <c r="AU90" s="9"/>
      <c r="AV90" s="9"/>
      <c r="AW90" s="175"/>
      <c r="AX90" s="175"/>
      <c r="AY90" s="175"/>
    </row>
    <row r="91" spans="1:51" s="52" customFormat="1" ht="50.1" customHeight="1" x14ac:dyDescent="0.25">
      <c r="A91" s="112" t="s">
        <v>250</v>
      </c>
      <c r="B91" s="248">
        <v>103946</v>
      </c>
      <c r="C91" s="249"/>
      <c r="D91" s="254" t="s">
        <v>50</v>
      </c>
      <c r="E91" s="255"/>
      <c r="F91" s="232" t="s">
        <v>207</v>
      </c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4"/>
      <c r="S91" s="235" t="s">
        <v>159</v>
      </c>
      <c r="T91" s="236"/>
      <c r="U91" s="256">
        <v>759.92</v>
      </c>
      <c r="V91" s="257"/>
      <c r="W91" s="258"/>
      <c r="X91" s="253">
        <v>18.03</v>
      </c>
      <c r="Y91" s="241"/>
      <c r="Z91" s="259"/>
      <c r="AA91" s="242">
        <f t="shared" ref="AA91" si="50">ROUND(X91*U91,2)</f>
        <v>13701.36</v>
      </c>
      <c r="AB91" s="243"/>
      <c r="AC91" s="243"/>
      <c r="AD91" s="244"/>
      <c r="AE91" s="245">
        <f>ROUND(X91*(1+AI$18),2)</f>
        <v>22.29</v>
      </c>
      <c r="AF91" s="246"/>
      <c r="AG91" s="246"/>
      <c r="AH91" s="246">
        <f t="shared" si="28"/>
        <v>16938.6168</v>
      </c>
      <c r="AI91" s="246"/>
      <c r="AJ91" s="246"/>
      <c r="AK91" s="246"/>
      <c r="AL91" s="246"/>
      <c r="AM91" s="247"/>
      <c r="AP91" s="50"/>
      <c r="AT91" s="4"/>
      <c r="AU91" s="9"/>
      <c r="AV91" s="9"/>
      <c r="AW91" s="176"/>
      <c r="AX91" s="176"/>
      <c r="AY91" s="176"/>
    </row>
    <row r="92" spans="1:51" s="52" customFormat="1" ht="50.1" customHeight="1" x14ac:dyDescent="0.25">
      <c r="A92" s="112" t="s">
        <v>251</v>
      </c>
      <c r="B92" s="248">
        <v>94263</v>
      </c>
      <c r="C92" s="249"/>
      <c r="D92" s="254" t="s">
        <v>50</v>
      </c>
      <c r="E92" s="255"/>
      <c r="F92" s="232" t="s">
        <v>218</v>
      </c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4"/>
      <c r="S92" s="235" t="s">
        <v>54</v>
      </c>
      <c r="T92" s="236"/>
      <c r="U92" s="256">
        <v>1543.88</v>
      </c>
      <c r="V92" s="257"/>
      <c r="W92" s="258"/>
      <c r="X92" s="253">
        <v>35.64</v>
      </c>
      <c r="Y92" s="241"/>
      <c r="Z92" s="259"/>
      <c r="AA92" s="242">
        <f t="shared" ref="AA92" si="51">ROUND(X92*U92,2)</f>
        <v>55023.88</v>
      </c>
      <c r="AB92" s="243"/>
      <c r="AC92" s="243"/>
      <c r="AD92" s="244"/>
      <c r="AE92" s="245">
        <f>ROUND(X92*(1+AI$18),2)</f>
        <v>44.06</v>
      </c>
      <c r="AF92" s="246"/>
      <c r="AG92" s="246"/>
      <c r="AH92" s="246">
        <f t="shared" ref="AH92" si="52">U92*AE92</f>
        <v>68023.352800000008</v>
      </c>
      <c r="AI92" s="246"/>
      <c r="AJ92" s="246"/>
      <c r="AK92" s="246"/>
      <c r="AL92" s="246"/>
      <c r="AM92" s="247"/>
      <c r="AP92" s="50"/>
      <c r="AT92" s="4"/>
      <c r="AU92" s="9"/>
      <c r="AV92" s="9"/>
      <c r="AW92" s="200"/>
      <c r="AX92" s="200"/>
      <c r="AY92" s="200"/>
    </row>
    <row r="93" spans="1:51" s="52" customFormat="1" ht="50.1" customHeight="1" x14ac:dyDescent="0.25">
      <c r="A93" s="112" t="s">
        <v>252</v>
      </c>
      <c r="B93" s="248" t="s">
        <v>221</v>
      </c>
      <c r="C93" s="249"/>
      <c r="D93" s="254" t="s">
        <v>132</v>
      </c>
      <c r="E93" s="255"/>
      <c r="F93" s="232" t="s">
        <v>220</v>
      </c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4"/>
      <c r="S93" s="235" t="s">
        <v>56</v>
      </c>
      <c r="T93" s="236"/>
      <c r="U93" s="256">
        <v>1</v>
      </c>
      <c r="V93" s="257"/>
      <c r="W93" s="258"/>
      <c r="X93" s="253">
        <v>416.12</v>
      </c>
      <c r="Y93" s="241"/>
      <c r="Z93" s="259"/>
      <c r="AA93" s="242">
        <f t="shared" ref="AA93" si="53">ROUND(X93*U93,2)</f>
        <v>416.12</v>
      </c>
      <c r="AB93" s="243"/>
      <c r="AC93" s="243"/>
      <c r="AD93" s="244"/>
      <c r="AE93" s="245">
        <f>ROUND(X93*(1+AI$18),2)</f>
        <v>514.45000000000005</v>
      </c>
      <c r="AF93" s="246"/>
      <c r="AG93" s="246"/>
      <c r="AH93" s="246">
        <f t="shared" ref="AH93" si="54">U93*AE93</f>
        <v>514.45000000000005</v>
      </c>
      <c r="AI93" s="246"/>
      <c r="AJ93" s="246"/>
      <c r="AK93" s="246"/>
      <c r="AL93" s="246"/>
      <c r="AM93" s="247"/>
      <c r="AP93" s="50"/>
      <c r="AT93" s="4"/>
      <c r="AU93" s="9"/>
      <c r="AV93" s="9"/>
      <c r="AW93" s="200"/>
      <c r="AX93" s="200"/>
      <c r="AY93" s="200"/>
    </row>
    <row r="94" spans="1:51" s="52" customFormat="1" ht="50.1" customHeight="1" x14ac:dyDescent="0.25">
      <c r="A94" s="112"/>
      <c r="B94" s="248"/>
      <c r="C94" s="249"/>
      <c r="D94" s="254"/>
      <c r="E94" s="255"/>
      <c r="F94" s="296" t="s">
        <v>206</v>
      </c>
      <c r="G94" s="297"/>
      <c r="H94" s="297"/>
      <c r="I94" s="297"/>
      <c r="J94" s="297"/>
      <c r="K94" s="297"/>
      <c r="L94" s="297"/>
      <c r="M94" s="297"/>
      <c r="N94" s="297"/>
      <c r="O94" s="297"/>
      <c r="P94" s="297"/>
      <c r="Q94" s="297"/>
      <c r="R94" s="298"/>
      <c r="S94" s="235"/>
      <c r="T94" s="236"/>
      <c r="U94" s="256"/>
      <c r="V94" s="257"/>
      <c r="W94" s="258"/>
      <c r="X94" s="253"/>
      <c r="Y94" s="241"/>
      <c r="Z94" s="259"/>
      <c r="AA94" s="242"/>
      <c r="AB94" s="243"/>
      <c r="AC94" s="243"/>
      <c r="AD94" s="244"/>
      <c r="AE94" s="245"/>
      <c r="AF94" s="246"/>
      <c r="AG94" s="246"/>
      <c r="AH94" s="470">
        <f>AH78+AH79+AH80+AH81+AH82+AH83+AH84+AH85+AH86+AH90+AH91+AH92+AH93+AH88+AH87+AH89</f>
        <v>397313.51320000004</v>
      </c>
      <c r="AI94" s="470"/>
      <c r="AJ94" s="470"/>
      <c r="AK94" s="470"/>
      <c r="AL94" s="470"/>
      <c r="AM94" s="471"/>
      <c r="AP94" s="50"/>
      <c r="AT94" s="4"/>
      <c r="AU94" s="9"/>
      <c r="AV94" s="9"/>
      <c r="AW94" s="199"/>
      <c r="AX94" s="199"/>
      <c r="AY94" s="199"/>
    </row>
    <row r="95" spans="1:51" s="52" customFormat="1" ht="50.1" customHeight="1" x14ac:dyDescent="0.25">
      <c r="A95" s="201">
        <v>7</v>
      </c>
      <c r="B95" s="460"/>
      <c r="C95" s="461"/>
      <c r="D95" s="462"/>
      <c r="E95" s="463"/>
      <c r="F95" s="464" t="s">
        <v>201</v>
      </c>
      <c r="G95" s="465"/>
      <c r="H95" s="465"/>
      <c r="I95" s="465"/>
      <c r="J95" s="465"/>
      <c r="K95" s="465"/>
      <c r="L95" s="465"/>
      <c r="M95" s="465"/>
      <c r="N95" s="465"/>
      <c r="O95" s="465"/>
      <c r="P95" s="465"/>
      <c r="Q95" s="465"/>
      <c r="R95" s="466"/>
      <c r="S95" s="294"/>
      <c r="T95" s="295"/>
      <c r="U95" s="467"/>
      <c r="V95" s="468"/>
      <c r="W95" s="469"/>
      <c r="X95" s="276"/>
      <c r="Y95" s="277"/>
      <c r="Z95" s="278"/>
      <c r="AA95" s="279"/>
      <c r="AB95" s="280"/>
      <c r="AC95" s="280"/>
      <c r="AD95" s="281"/>
      <c r="AE95" s="309"/>
      <c r="AF95" s="310"/>
      <c r="AG95" s="310"/>
      <c r="AH95" s="310"/>
      <c r="AI95" s="310"/>
      <c r="AJ95" s="310"/>
      <c r="AK95" s="310"/>
      <c r="AL95" s="310"/>
      <c r="AM95" s="311"/>
      <c r="AP95" s="50"/>
      <c r="AT95" s="4"/>
      <c r="AU95" s="9"/>
      <c r="AV95" s="9"/>
      <c r="AW95" s="199"/>
      <c r="AX95" s="199"/>
      <c r="AY95" s="199"/>
    </row>
    <row r="96" spans="1:51" s="52" customFormat="1" ht="50.1" customHeight="1" x14ac:dyDescent="0.25">
      <c r="A96" s="112" t="s">
        <v>202</v>
      </c>
      <c r="B96" s="248">
        <v>96536</v>
      </c>
      <c r="C96" s="249"/>
      <c r="D96" s="254" t="s">
        <v>50</v>
      </c>
      <c r="E96" s="255"/>
      <c r="F96" s="232" t="s">
        <v>238</v>
      </c>
      <c r="G96" s="233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4"/>
      <c r="S96" s="235" t="s">
        <v>159</v>
      </c>
      <c r="T96" s="236"/>
      <c r="U96" s="256">
        <v>9.7100000000000009</v>
      </c>
      <c r="V96" s="257"/>
      <c r="W96" s="258"/>
      <c r="X96" s="253">
        <v>94.2</v>
      </c>
      <c r="Y96" s="241"/>
      <c r="Z96" s="259"/>
      <c r="AA96" s="242">
        <f t="shared" ref="AA96" si="55">ROUND(X96*U96,2)</f>
        <v>914.68</v>
      </c>
      <c r="AB96" s="243"/>
      <c r="AC96" s="243"/>
      <c r="AD96" s="244"/>
      <c r="AE96" s="245">
        <f>ROUND(X96*(1+AI$18),2)</f>
        <v>116.46</v>
      </c>
      <c r="AF96" s="246"/>
      <c r="AG96" s="246"/>
      <c r="AH96" s="246">
        <f t="shared" ref="AH96" si="56">U96*AE96</f>
        <v>1130.8266000000001</v>
      </c>
      <c r="AI96" s="246"/>
      <c r="AJ96" s="246"/>
      <c r="AK96" s="246"/>
      <c r="AL96" s="246"/>
      <c r="AM96" s="247"/>
      <c r="AP96" s="50"/>
      <c r="AT96" s="4"/>
      <c r="AU96" s="9"/>
      <c r="AV96" s="9"/>
      <c r="AW96" s="199"/>
      <c r="AX96" s="199"/>
      <c r="AY96" s="199"/>
    </row>
    <row r="97" spans="1:51" s="52" customFormat="1" ht="50.1" customHeight="1" x14ac:dyDescent="0.25">
      <c r="A97" s="112" t="s">
        <v>203</v>
      </c>
      <c r="B97" s="248">
        <v>102487</v>
      </c>
      <c r="C97" s="249"/>
      <c r="D97" s="254" t="s">
        <v>50</v>
      </c>
      <c r="E97" s="255"/>
      <c r="F97" s="232" t="s">
        <v>208</v>
      </c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4"/>
      <c r="S97" s="235" t="s">
        <v>150</v>
      </c>
      <c r="T97" s="236"/>
      <c r="U97" s="256">
        <v>9.07</v>
      </c>
      <c r="V97" s="257"/>
      <c r="W97" s="258"/>
      <c r="X97" s="253">
        <v>584.38</v>
      </c>
      <c r="Y97" s="241"/>
      <c r="Z97" s="259"/>
      <c r="AA97" s="242">
        <f t="shared" ref="AA97" si="57">ROUND(X97*U97,2)</f>
        <v>5300.33</v>
      </c>
      <c r="AB97" s="243"/>
      <c r="AC97" s="243"/>
      <c r="AD97" s="244"/>
      <c r="AE97" s="245">
        <f>ROUND(X97*(1+AI$18),2)</f>
        <v>722.47</v>
      </c>
      <c r="AF97" s="246"/>
      <c r="AG97" s="246"/>
      <c r="AH97" s="246">
        <f t="shared" ref="AH97" si="58">U97*AE97</f>
        <v>6552.8029000000006</v>
      </c>
      <c r="AI97" s="246"/>
      <c r="AJ97" s="246"/>
      <c r="AK97" s="246"/>
      <c r="AL97" s="246"/>
      <c r="AM97" s="247"/>
      <c r="AP97" s="50"/>
      <c r="AT97" s="4"/>
      <c r="AU97" s="9"/>
      <c r="AV97" s="9"/>
      <c r="AW97" s="199"/>
      <c r="AX97" s="199"/>
      <c r="AY97" s="199"/>
    </row>
    <row r="98" spans="1:51" ht="75" customHeight="1" x14ac:dyDescent="0.25">
      <c r="A98" s="112" t="s">
        <v>204</v>
      </c>
      <c r="B98" s="248">
        <v>89580</v>
      </c>
      <c r="C98" s="249"/>
      <c r="D98" s="312" t="s">
        <v>50</v>
      </c>
      <c r="E98" s="255"/>
      <c r="F98" s="232" t="s">
        <v>239</v>
      </c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4"/>
      <c r="S98" s="235" t="s">
        <v>158</v>
      </c>
      <c r="T98" s="236"/>
      <c r="U98" s="237">
        <v>18</v>
      </c>
      <c r="V98" s="238"/>
      <c r="W98" s="239"/>
      <c r="X98" s="313">
        <v>71.5</v>
      </c>
      <c r="Y98" s="314"/>
      <c r="Z98" s="315"/>
      <c r="AA98" s="242">
        <f t="shared" ref="AA98" si="59">ROUND(X98*U98,2)</f>
        <v>1287</v>
      </c>
      <c r="AB98" s="243"/>
      <c r="AC98" s="243"/>
      <c r="AD98" s="244"/>
      <c r="AE98" s="245">
        <f>ROUND(X98*(1+AI$18),2)</f>
        <v>88.4</v>
      </c>
      <c r="AF98" s="246"/>
      <c r="AG98" s="246"/>
      <c r="AH98" s="246">
        <f t="shared" ref="AH98" si="60">U98*AE98</f>
        <v>1591.2</v>
      </c>
      <c r="AI98" s="246"/>
      <c r="AJ98" s="246"/>
      <c r="AK98" s="246"/>
      <c r="AL98" s="246"/>
      <c r="AM98" s="247"/>
      <c r="AP98" s="42"/>
      <c r="AR98" s="42"/>
      <c r="AU98" s="9"/>
      <c r="AV98" s="9"/>
      <c r="AW98" s="301"/>
      <c r="AX98" s="301"/>
      <c r="AY98" s="301"/>
    </row>
    <row r="99" spans="1:51" ht="21" x14ac:dyDescent="0.25">
      <c r="A99" s="112"/>
      <c r="B99" s="322"/>
      <c r="C99" s="323"/>
      <c r="D99" s="324"/>
      <c r="E99" s="325"/>
      <c r="F99" s="326" t="s">
        <v>205</v>
      </c>
      <c r="G99" s="327"/>
      <c r="H99" s="327"/>
      <c r="I99" s="327"/>
      <c r="J99" s="327"/>
      <c r="K99" s="327"/>
      <c r="L99" s="327"/>
      <c r="M99" s="327"/>
      <c r="N99" s="327"/>
      <c r="O99" s="327"/>
      <c r="P99" s="327"/>
      <c r="Q99" s="327"/>
      <c r="R99" s="328"/>
      <c r="S99" s="235"/>
      <c r="T99" s="236"/>
      <c r="U99" s="237"/>
      <c r="V99" s="238"/>
      <c r="W99" s="239"/>
      <c r="X99" s="305"/>
      <c r="Y99" s="305"/>
      <c r="Z99" s="305"/>
      <c r="AA99" s="306">
        <f>SUM(AA78:AD98)</f>
        <v>328873.02</v>
      </c>
      <c r="AB99" s="307"/>
      <c r="AC99" s="307"/>
      <c r="AD99" s="308"/>
      <c r="AE99" s="245"/>
      <c r="AF99" s="246"/>
      <c r="AG99" s="246"/>
      <c r="AH99" s="302">
        <f>SUM(AH96:AM98)</f>
        <v>9274.8295000000016</v>
      </c>
      <c r="AI99" s="303"/>
      <c r="AJ99" s="303"/>
      <c r="AK99" s="303"/>
      <c r="AL99" s="303"/>
      <c r="AM99" s="304"/>
      <c r="AP99" s="42"/>
      <c r="AU99" s="9"/>
      <c r="AV99" s="9"/>
      <c r="AW99" s="5"/>
      <c r="AX99" s="5"/>
      <c r="AY99" s="5"/>
    </row>
    <row r="100" spans="1:51" s="52" customFormat="1" ht="21" customHeight="1" x14ac:dyDescent="0.25">
      <c r="A100" s="201">
        <v>8</v>
      </c>
      <c r="B100" s="460"/>
      <c r="C100" s="461"/>
      <c r="D100" s="462"/>
      <c r="E100" s="463"/>
      <c r="F100" s="464" t="s">
        <v>254</v>
      </c>
      <c r="G100" s="465"/>
      <c r="H100" s="465"/>
      <c r="I100" s="465"/>
      <c r="J100" s="465"/>
      <c r="K100" s="465"/>
      <c r="L100" s="465"/>
      <c r="M100" s="465"/>
      <c r="N100" s="465"/>
      <c r="O100" s="465"/>
      <c r="P100" s="465"/>
      <c r="Q100" s="465"/>
      <c r="R100" s="466"/>
      <c r="S100" s="294"/>
      <c r="T100" s="295"/>
      <c r="U100" s="467"/>
      <c r="V100" s="468"/>
      <c r="W100" s="469"/>
      <c r="X100" s="276"/>
      <c r="Y100" s="277"/>
      <c r="Z100" s="278"/>
      <c r="AA100" s="279"/>
      <c r="AB100" s="280"/>
      <c r="AC100" s="280"/>
      <c r="AD100" s="281"/>
      <c r="AE100" s="309"/>
      <c r="AF100" s="310"/>
      <c r="AG100" s="310"/>
      <c r="AH100" s="310"/>
      <c r="AI100" s="310"/>
      <c r="AJ100" s="310"/>
      <c r="AK100" s="310"/>
      <c r="AL100" s="310"/>
      <c r="AM100" s="311"/>
      <c r="AP100" s="42"/>
      <c r="AT100" s="4"/>
      <c r="AU100" s="9"/>
      <c r="AV100" s="9"/>
      <c r="AW100" s="5"/>
      <c r="AX100" s="5"/>
      <c r="AY100" s="5"/>
    </row>
    <row r="101" spans="1:51" s="52" customFormat="1" ht="34.950000000000003" customHeight="1" x14ac:dyDescent="0.25">
      <c r="A101" s="112" t="s">
        <v>255</v>
      </c>
      <c r="B101" s="248">
        <v>90778</v>
      </c>
      <c r="C101" s="249"/>
      <c r="D101" s="312" t="s">
        <v>50</v>
      </c>
      <c r="E101" s="255"/>
      <c r="F101" s="232" t="s">
        <v>274</v>
      </c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4"/>
      <c r="S101" s="235" t="s">
        <v>276</v>
      </c>
      <c r="T101" s="236"/>
      <c r="U101" s="237">
        <v>32</v>
      </c>
      <c r="V101" s="238"/>
      <c r="W101" s="239"/>
      <c r="X101" s="313">
        <v>129.6</v>
      </c>
      <c r="Y101" s="314"/>
      <c r="Z101" s="315"/>
      <c r="AA101" s="242">
        <f t="shared" ref="AA101" si="61">ROUND(X101*U101,2)</f>
        <v>4147.2</v>
      </c>
      <c r="AB101" s="243"/>
      <c r="AC101" s="243"/>
      <c r="AD101" s="244"/>
      <c r="AE101" s="245">
        <f>ROUND(X101*(1+AI$18),2)</f>
        <v>160.22</v>
      </c>
      <c r="AF101" s="246"/>
      <c r="AG101" s="246"/>
      <c r="AH101" s="246">
        <f t="shared" ref="AH101" si="62">U101*AE101</f>
        <v>5127.04</v>
      </c>
      <c r="AI101" s="246"/>
      <c r="AJ101" s="246"/>
      <c r="AK101" s="246"/>
      <c r="AL101" s="246"/>
      <c r="AM101" s="247"/>
      <c r="AP101" s="42"/>
      <c r="AT101" s="4"/>
      <c r="AU101" s="9"/>
      <c r="AV101" s="9"/>
      <c r="AW101" s="5"/>
      <c r="AX101" s="5"/>
      <c r="AY101" s="5"/>
    </row>
    <row r="102" spans="1:51" s="52" customFormat="1" ht="49.95" customHeight="1" x14ac:dyDescent="0.25">
      <c r="A102" s="112" t="s">
        <v>273</v>
      </c>
      <c r="B102" s="248">
        <v>90776</v>
      </c>
      <c r="C102" s="249"/>
      <c r="D102" s="312" t="s">
        <v>50</v>
      </c>
      <c r="E102" s="255"/>
      <c r="F102" s="232" t="s">
        <v>275</v>
      </c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4"/>
      <c r="S102" s="235" t="s">
        <v>276</v>
      </c>
      <c r="T102" s="236"/>
      <c r="U102" s="237">
        <v>640</v>
      </c>
      <c r="V102" s="238"/>
      <c r="W102" s="239"/>
      <c r="X102" s="313">
        <v>57.73</v>
      </c>
      <c r="Y102" s="314"/>
      <c r="Z102" s="315"/>
      <c r="AA102" s="242">
        <f t="shared" ref="AA102" si="63">ROUND(X102*U102,2)</f>
        <v>36947.199999999997</v>
      </c>
      <c r="AB102" s="243"/>
      <c r="AC102" s="243"/>
      <c r="AD102" s="244"/>
      <c r="AE102" s="245">
        <f>ROUND(X102*(1+AI$18),2)</f>
        <v>71.37</v>
      </c>
      <c r="AF102" s="246"/>
      <c r="AG102" s="246"/>
      <c r="AH102" s="246">
        <f t="shared" ref="AH102" si="64">U102*AE102</f>
        <v>45676.800000000003</v>
      </c>
      <c r="AI102" s="246"/>
      <c r="AJ102" s="246"/>
      <c r="AK102" s="246"/>
      <c r="AL102" s="246"/>
      <c r="AM102" s="247"/>
      <c r="AP102" s="42"/>
      <c r="AT102" s="4"/>
      <c r="AU102" s="9"/>
      <c r="AV102" s="9"/>
      <c r="AW102" s="5"/>
      <c r="AX102" s="5"/>
      <c r="AY102" s="5"/>
    </row>
    <row r="103" spans="1:51" s="52" customFormat="1" ht="49.95" customHeight="1" x14ac:dyDescent="0.25">
      <c r="A103" s="112"/>
      <c r="B103" s="322"/>
      <c r="C103" s="323"/>
      <c r="D103" s="324"/>
      <c r="E103" s="325"/>
      <c r="F103" s="326" t="s">
        <v>256</v>
      </c>
      <c r="G103" s="327"/>
      <c r="H103" s="327"/>
      <c r="I103" s="327"/>
      <c r="J103" s="327"/>
      <c r="K103" s="327"/>
      <c r="L103" s="327"/>
      <c r="M103" s="327"/>
      <c r="N103" s="327"/>
      <c r="O103" s="327"/>
      <c r="P103" s="327"/>
      <c r="Q103" s="327"/>
      <c r="R103" s="328"/>
      <c r="S103" s="235"/>
      <c r="T103" s="236"/>
      <c r="U103" s="237"/>
      <c r="V103" s="238"/>
      <c r="W103" s="239"/>
      <c r="X103" s="305"/>
      <c r="Y103" s="305"/>
      <c r="Z103" s="305"/>
      <c r="AA103" s="306">
        <f>AA102</f>
        <v>36947.199999999997</v>
      </c>
      <c r="AB103" s="307"/>
      <c r="AC103" s="307"/>
      <c r="AD103" s="308"/>
      <c r="AE103" s="245"/>
      <c r="AF103" s="246"/>
      <c r="AG103" s="246"/>
      <c r="AH103" s="302">
        <v>50803.839999999997</v>
      </c>
      <c r="AI103" s="303"/>
      <c r="AJ103" s="303"/>
      <c r="AK103" s="303"/>
      <c r="AL103" s="303"/>
      <c r="AM103" s="304"/>
      <c r="AP103" s="42">
        <f>50803.84</f>
        <v>50803.839999999997</v>
      </c>
      <c r="AT103" s="4"/>
      <c r="AU103" s="9"/>
      <c r="AV103" s="9"/>
      <c r="AW103" s="5"/>
      <c r="AX103" s="5"/>
      <c r="AY103" s="5"/>
    </row>
    <row r="104" spans="1:51" ht="17.25" customHeight="1" x14ac:dyDescent="0.25">
      <c r="A104" s="119"/>
      <c r="B104" s="120"/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1" t="s">
        <v>57</v>
      </c>
      <c r="X104" s="333" t="s">
        <v>58</v>
      </c>
      <c r="Y104" s="329"/>
      <c r="Z104" s="329"/>
      <c r="AA104" s="329">
        <f>AA99+AA63+AA51+AA75+AA37+AD103</f>
        <v>542720.96</v>
      </c>
      <c r="AB104" s="329"/>
      <c r="AC104" s="329"/>
      <c r="AD104" s="330"/>
      <c r="AE104" s="331" t="s">
        <v>59</v>
      </c>
      <c r="AF104" s="329"/>
      <c r="AG104" s="329"/>
      <c r="AH104" s="329">
        <f>AH99+AP103+AH94+AH76+AH63+AH59+AH51+AH37</f>
        <v>1081497.6119000001</v>
      </c>
      <c r="AI104" s="329"/>
      <c r="AJ104" s="329"/>
      <c r="AK104" s="329"/>
      <c r="AL104" s="329"/>
      <c r="AM104" s="332"/>
      <c r="AU104" s="9"/>
      <c r="AV104" s="9"/>
      <c r="AW104" s="9"/>
      <c r="AX104" s="9"/>
      <c r="AY104" s="9"/>
    </row>
    <row r="105" spans="1:51" ht="12" customHeight="1" x14ac:dyDescent="0.25">
      <c r="A105" s="114"/>
      <c r="B105" s="91"/>
      <c r="C105" s="91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  <c r="AI105" s="91"/>
      <c r="AJ105" s="91"/>
      <c r="AK105" s="91"/>
      <c r="AL105" s="91"/>
      <c r="AM105" s="115"/>
      <c r="AP105" s="48"/>
    </row>
    <row r="106" spans="1:51" ht="15" customHeight="1" x14ac:dyDescent="0.25">
      <c r="A106" s="116"/>
      <c r="B106" s="90"/>
      <c r="C106" s="90"/>
      <c r="D106" s="90"/>
      <c r="E106" s="268" t="s">
        <v>60</v>
      </c>
      <c r="F106" s="269"/>
      <c r="G106" s="269"/>
      <c r="H106" s="269"/>
      <c r="I106" s="269"/>
      <c r="J106" s="269"/>
      <c r="K106" s="269"/>
      <c r="L106" s="269"/>
      <c r="M106" s="269"/>
      <c r="N106" s="269"/>
      <c r="O106" s="269"/>
      <c r="P106" s="269"/>
      <c r="Q106" s="269"/>
      <c r="R106" s="269"/>
      <c r="S106" s="269"/>
      <c r="T106" s="269"/>
      <c r="U106" s="269"/>
      <c r="V106" s="269"/>
      <c r="W106" s="269"/>
      <c r="X106" s="269"/>
      <c r="Y106" s="269"/>
      <c r="Z106" s="269"/>
      <c r="AA106" s="269"/>
      <c r="AB106" s="269"/>
      <c r="AC106" s="269"/>
      <c r="AD106" s="269"/>
      <c r="AE106" s="269"/>
      <c r="AF106" s="269"/>
      <c r="AG106" s="269"/>
      <c r="AH106" s="269"/>
      <c r="AI106" s="269"/>
      <c r="AJ106" s="269"/>
      <c r="AK106" s="269"/>
      <c r="AL106" s="269"/>
      <c r="AM106" s="103"/>
      <c r="AP106" s="48"/>
      <c r="AR106" s="48"/>
    </row>
    <row r="107" spans="1:51" ht="12" customHeight="1" x14ac:dyDescent="0.25">
      <c r="A107" s="116"/>
      <c r="B107" s="90"/>
      <c r="C107" s="90"/>
      <c r="D107" s="90"/>
      <c r="E107" s="269"/>
      <c r="F107" s="269"/>
      <c r="G107" s="269"/>
      <c r="H107" s="269"/>
      <c r="I107" s="269"/>
      <c r="J107" s="269"/>
      <c r="K107" s="269"/>
      <c r="L107" s="269"/>
      <c r="M107" s="269"/>
      <c r="N107" s="269"/>
      <c r="O107" s="269"/>
      <c r="P107" s="269"/>
      <c r="Q107" s="269"/>
      <c r="R107" s="269"/>
      <c r="S107" s="269"/>
      <c r="T107" s="269"/>
      <c r="U107" s="269"/>
      <c r="V107" s="269"/>
      <c r="W107" s="269"/>
      <c r="X107" s="269"/>
      <c r="Y107" s="269"/>
      <c r="Z107" s="269"/>
      <c r="AA107" s="269"/>
      <c r="AB107" s="269"/>
      <c r="AC107" s="269"/>
      <c r="AD107" s="269"/>
      <c r="AE107" s="269"/>
      <c r="AF107" s="269"/>
      <c r="AG107" s="269"/>
      <c r="AH107" s="269"/>
      <c r="AI107" s="269"/>
      <c r="AJ107" s="269"/>
      <c r="AK107" s="269"/>
      <c r="AL107" s="269"/>
      <c r="AM107" s="103"/>
      <c r="AR107" s="48"/>
    </row>
    <row r="108" spans="1:51" ht="12" customHeight="1" x14ac:dyDescent="0.25">
      <c r="A108" s="116"/>
      <c r="B108" s="90"/>
      <c r="C108" s="90"/>
      <c r="D108" s="90"/>
      <c r="E108" s="269"/>
      <c r="F108" s="269"/>
      <c r="G108" s="269"/>
      <c r="H108" s="269"/>
      <c r="I108" s="269"/>
      <c r="J108" s="269"/>
      <c r="K108" s="269"/>
      <c r="L108" s="269"/>
      <c r="M108" s="269"/>
      <c r="N108" s="269"/>
      <c r="O108" s="269"/>
      <c r="P108" s="269"/>
      <c r="Q108" s="269"/>
      <c r="R108" s="269"/>
      <c r="S108" s="269"/>
      <c r="T108" s="269"/>
      <c r="U108" s="269"/>
      <c r="V108" s="269"/>
      <c r="W108" s="269"/>
      <c r="X108" s="269"/>
      <c r="Y108" s="269"/>
      <c r="Z108" s="269"/>
      <c r="AA108" s="269"/>
      <c r="AB108" s="269"/>
      <c r="AC108" s="269"/>
      <c r="AD108" s="269"/>
      <c r="AE108" s="269"/>
      <c r="AF108" s="269"/>
      <c r="AG108" s="269"/>
      <c r="AH108" s="269"/>
      <c r="AI108" s="269"/>
      <c r="AJ108" s="269"/>
      <c r="AK108" s="269"/>
      <c r="AL108" s="269"/>
      <c r="AM108" s="103"/>
      <c r="AR108" s="48"/>
    </row>
    <row r="109" spans="1:51" s="9" customFormat="1" ht="13.2" x14ac:dyDescent="0.25">
      <c r="B109" s="116"/>
      <c r="C109" s="90"/>
      <c r="D109" s="90"/>
      <c r="E109" s="269"/>
      <c r="F109" s="269"/>
      <c r="G109" s="269"/>
      <c r="H109" s="269"/>
      <c r="I109" s="269"/>
      <c r="J109" s="269"/>
      <c r="K109" s="269"/>
      <c r="L109" s="269"/>
      <c r="M109" s="269"/>
      <c r="N109" s="269"/>
      <c r="O109" s="269"/>
      <c r="P109" s="269"/>
      <c r="Q109" s="269"/>
      <c r="R109" s="269"/>
      <c r="S109" s="269"/>
      <c r="T109" s="269"/>
      <c r="U109" s="269"/>
      <c r="V109" s="269"/>
      <c r="W109" s="269"/>
      <c r="X109" s="269"/>
      <c r="Y109" s="269"/>
      <c r="Z109" s="269"/>
      <c r="AA109" s="269"/>
      <c r="AB109" s="269"/>
      <c r="AC109" s="269"/>
      <c r="AD109" s="269"/>
      <c r="AE109" s="269"/>
      <c r="AF109" s="269"/>
      <c r="AG109" s="269"/>
      <c r="AH109" s="269"/>
      <c r="AI109" s="269"/>
      <c r="AJ109" s="269"/>
      <c r="AK109" s="269"/>
      <c r="AL109" s="269"/>
      <c r="AM109" s="103"/>
      <c r="AP109" s="49"/>
      <c r="AT109" s="10"/>
    </row>
    <row r="110" spans="1:51" s="43" customFormat="1" ht="12" customHeight="1" x14ac:dyDescent="0.25">
      <c r="A110" s="116"/>
      <c r="B110" s="90"/>
      <c r="C110" s="90"/>
      <c r="D110" s="90"/>
      <c r="E110" s="90"/>
      <c r="F110" s="90"/>
      <c r="G110" s="90"/>
      <c r="H110" s="90"/>
      <c r="I110" s="189" t="s">
        <v>198</v>
      </c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  <c r="AJ110" s="90"/>
      <c r="AK110" s="90"/>
      <c r="AL110" s="90"/>
      <c r="AM110" s="194"/>
      <c r="AT110" s="44"/>
    </row>
    <row r="111" spans="1:51" ht="6" customHeight="1" x14ac:dyDescent="0.25">
      <c r="A111" s="190"/>
      <c r="B111" s="190"/>
      <c r="C111" s="190"/>
      <c r="D111" s="190"/>
      <c r="E111" s="190"/>
      <c r="F111" s="198"/>
      <c r="G111" s="190"/>
      <c r="H111" s="190"/>
      <c r="I111" s="191" t="s">
        <v>200</v>
      </c>
      <c r="J111" s="190"/>
      <c r="K111" s="190"/>
      <c r="L111" s="190"/>
      <c r="M111" s="190"/>
      <c r="N111" s="190"/>
      <c r="O111" s="190"/>
      <c r="P111" s="190"/>
      <c r="Q111" s="190"/>
      <c r="R111" s="190"/>
      <c r="S111" s="190"/>
      <c r="T111" s="190"/>
      <c r="U111" s="190"/>
      <c r="V111" s="190"/>
      <c r="W111" s="190"/>
      <c r="X111" s="190"/>
      <c r="Y111" s="190"/>
      <c r="Z111" s="190"/>
      <c r="AA111" s="190"/>
      <c r="AB111" s="190"/>
      <c r="AC111" s="190"/>
      <c r="AD111" s="190"/>
      <c r="AE111" s="190"/>
      <c r="AF111" s="190"/>
      <c r="AG111" s="190"/>
      <c r="AH111" s="190"/>
      <c r="AI111" s="190"/>
      <c r="AJ111" s="190"/>
      <c r="AK111" s="190"/>
      <c r="AL111" s="190"/>
      <c r="AM111" s="195"/>
      <c r="AP111" s="53"/>
    </row>
    <row r="112" spans="1:51" ht="12" customHeight="1" x14ac:dyDescent="0.25">
      <c r="A112" s="190"/>
      <c r="B112" s="190"/>
      <c r="C112" s="190"/>
      <c r="D112" s="190"/>
      <c r="E112" s="190"/>
      <c r="F112" s="190"/>
      <c r="G112" s="190"/>
      <c r="H112" s="190"/>
      <c r="I112" s="191"/>
      <c r="J112" s="190"/>
      <c r="K112" s="190"/>
      <c r="L112" s="190"/>
      <c r="M112" s="190"/>
      <c r="N112" s="190"/>
      <c r="O112" s="190"/>
      <c r="P112" s="190"/>
      <c r="Q112" s="190"/>
      <c r="R112" s="190"/>
      <c r="S112" s="190"/>
      <c r="T112" s="190"/>
      <c r="U112" s="190"/>
      <c r="V112" s="190"/>
      <c r="W112" s="190"/>
      <c r="X112" s="190"/>
      <c r="Y112" s="190"/>
      <c r="Z112" s="190"/>
      <c r="AA112" s="190"/>
      <c r="AB112" s="190"/>
      <c r="AC112" s="190"/>
      <c r="AD112" s="190"/>
      <c r="AE112" s="190"/>
      <c r="AF112" s="190"/>
      <c r="AG112" s="190"/>
      <c r="AH112" s="190"/>
      <c r="AI112" s="190"/>
      <c r="AJ112" s="190"/>
      <c r="AK112" s="190"/>
      <c r="AL112" s="190"/>
      <c r="AM112" s="196"/>
    </row>
    <row r="113" spans="1:39" ht="12" customHeight="1" x14ac:dyDescent="0.25">
      <c r="A113" s="190"/>
      <c r="B113" s="190"/>
      <c r="C113" s="190"/>
      <c r="D113" s="190"/>
      <c r="E113" s="190"/>
      <c r="F113" s="190"/>
      <c r="G113" s="190"/>
      <c r="H113" s="190"/>
      <c r="I113" s="191"/>
      <c r="J113" s="190"/>
      <c r="K113" s="190"/>
      <c r="L113" s="190"/>
      <c r="M113" s="190"/>
      <c r="N113" s="190"/>
      <c r="O113" s="190"/>
      <c r="P113" s="190"/>
      <c r="Q113" s="190"/>
      <c r="R113" s="190"/>
      <c r="S113" s="190"/>
      <c r="T113" s="190"/>
      <c r="U113" s="190"/>
      <c r="V113" s="190"/>
      <c r="W113" s="190"/>
      <c r="X113" s="190"/>
      <c r="Y113" s="190"/>
      <c r="Z113" s="190"/>
      <c r="AA113" s="190"/>
      <c r="AB113" s="190"/>
      <c r="AC113" s="190"/>
      <c r="AD113" s="190"/>
      <c r="AE113" s="190"/>
      <c r="AF113" s="190"/>
      <c r="AG113" s="190"/>
      <c r="AH113" s="190"/>
      <c r="AI113" s="190"/>
      <c r="AJ113" s="190"/>
      <c r="AK113" s="190"/>
      <c r="AL113" s="190"/>
      <c r="AM113" s="196"/>
    </row>
    <row r="114" spans="1:39" ht="12" customHeight="1" thickBot="1" x14ac:dyDescent="0.3">
      <c r="A114" s="192" t="s">
        <v>199</v>
      </c>
      <c r="B114" s="193"/>
      <c r="C114" s="193"/>
      <c r="D114" s="193"/>
      <c r="E114" s="193"/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  <c r="X114" s="193"/>
      <c r="Y114" s="193"/>
      <c r="Z114" s="193"/>
      <c r="AA114" s="193"/>
      <c r="AB114" s="193"/>
      <c r="AC114" s="193"/>
      <c r="AD114" s="193"/>
      <c r="AE114" s="193"/>
      <c r="AF114" s="193"/>
      <c r="AG114" s="193"/>
      <c r="AH114" s="193"/>
      <c r="AI114" s="193"/>
      <c r="AJ114" s="193"/>
      <c r="AK114" s="193"/>
      <c r="AL114" s="193"/>
      <c r="AM114" s="197"/>
    </row>
    <row r="115" spans="1:39" ht="12" customHeight="1" x14ac:dyDescent="0.25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</row>
    <row r="116" spans="1:39" ht="12" customHeight="1" x14ac:dyDescent="0.25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</row>
    <row r="117" spans="1:39" ht="12" customHeight="1" x14ac:dyDescent="0.25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</row>
    <row r="118" spans="1:39" ht="12" customHeight="1" x14ac:dyDescent="0.25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</row>
    <row r="119" spans="1:39" ht="12" customHeight="1" x14ac:dyDescent="0.25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</row>
    <row r="120" spans="1:39" ht="12" customHeight="1" x14ac:dyDescent="0.25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</row>
    <row r="121" spans="1:39" ht="12" customHeight="1" x14ac:dyDescent="0.25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</row>
    <row r="122" spans="1:39" ht="12" customHeight="1" x14ac:dyDescent="0.25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</row>
    <row r="123" spans="1:39" ht="12" customHeight="1" x14ac:dyDescent="0.25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</row>
    <row r="124" spans="1:39" ht="12" customHeight="1" x14ac:dyDescent="0.25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</row>
    <row r="125" spans="1:39" ht="12" customHeight="1" x14ac:dyDescent="0.25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</row>
    <row r="126" spans="1:39" ht="12" customHeight="1" x14ac:dyDescent="0.25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</row>
    <row r="127" spans="1:39" ht="12" customHeight="1" x14ac:dyDescent="0.25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</row>
    <row r="128" spans="1:39" ht="12" customHeight="1" x14ac:dyDescent="0.25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</row>
    <row r="129" spans="1:39" ht="12" customHeight="1" x14ac:dyDescent="0.25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</row>
    <row r="130" spans="1:39" ht="12" customHeight="1" x14ac:dyDescent="0.25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</row>
    <row r="131" spans="1:39" ht="12" customHeight="1" x14ac:dyDescent="0.25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</row>
    <row r="132" spans="1:39" ht="12" customHeight="1" x14ac:dyDescent="0.25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</row>
    <row r="133" spans="1:39" ht="12" customHeight="1" x14ac:dyDescent="0.25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</row>
    <row r="134" spans="1:39" ht="12" customHeight="1" x14ac:dyDescent="0.25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</row>
    <row r="135" spans="1:39" ht="12" customHeight="1" x14ac:dyDescent="0.2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</row>
    <row r="136" spans="1:39" ht="12" customHeight="1" x14ac:dyDescent="0.25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</row>
    <row r="137" spans="1:39" ht="12" customHeight="1" x14ac:dyDescent="0.25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</row>
    <row r="138" spans="1:39" ht="12" customHeight="1" x14ac:dyDescent="0.25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</row>
    <row r="139" spans="1:39" ht="12" customHeight="1" x14ac:dyDescent="0.25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</row>
    <row r="140" spans="1:39" ht="12" customHeight="1" x14ac:dyDescent="0.25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</row>
    <row r="141" spans="1:39" ht="12" customHeight="1" x14ac:dyDescent="0.25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</row>
    <row r="142" spans="1:39" ht="12" customHeight="1" x14ac:dyDescent="0.25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</row>
    <row r="143" spans="1:39" ht="12" customHeight="1" x14ac:dyDescent="0.25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</row>
    <row r="144" spans="1:39" ht="12" customHeight="1" x14ac:dyDescent="0.25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</row>
    <row r="145" spans="1:39" ht="12" customHeight="1" x14ac:dyDescent="0.2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</row>
    <row r="146" spans="1:39" ht="12" customHeight="1" x14ac:dyDescent="0.25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</row>
    <row r="147" spans="1:39" ht="12" customHeight="1" x14ac:dyDescent="0.25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</row>
    <row r="148" spans="1:39" ht="12" customHeight="1" x14ac:dyDescent="0.25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</row>
    <row r="149" spans="1:39" ht="12" customHeight="1" x14ac:dyDescent="0.25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</row>
    <row r="150" spans="1:39" ht="12" customHeight="1" x14ac:dyDescent="0.25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</row>
    <row r="151" spans="1:39" ht="12" customHeight="1" x14ac:dyDescent="0.25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</row>
    <row r="152" spans="1:39" ht="12" customHeight="1" x14ac:dyDescent="0.25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</row>
  </sheetData>
  <mergeCells count="734">
    <mergeCell ref="B101:C101"/>
    <mergeCell ref="D101:E101"/>
    <mergeCell ref="F101:R101"/>
    <mergeCell ref="S101:T101"/>
    <mergeCell ref="U101:W101"/>
    <mergeCell ref="X101:Z101"/>
    <mergeCell ref="AA101:AD101"/>
    <mergeCell ref="AE101:AG101"/>
    <mergeCell ref="AH101:AM101"/>
    <mergeCell ref="B61:C61"/>
    <mergeCell ref="D61:E61"/>
    <mergeCell ref="F61:R61"/>
    <mergeCell ref="S61:T61"/>
    <mergeCell ref="U61:W61"/>
    <mergeCell ref="X61:Z61"/>
    <mergeCell ref="AA61:AD61"/>
    <mergeCell ref="AE61:AG61"/>
    <mergeCell ref="AH61:AM61"/>
    <mergeCell ref="B57:C57"/>
    <mergeCell ref="D57:E57"/>
    <mergeCell ref="F57:R57"/>
    <mergeCell ref="S57:T57"/>
    <mergeCell ref="U57:W57"/>
    <mergeCell ref="X57:Z57"/>
    <mergeCell ref="AA57:AD57"/>
    <mergeCell ref="AE57:AG57"/>
    <mergeCell ref="AH57:AM57"/>
    <mergeCell ref="B56:C56"/>
    <mergeCell ref="D56:E56"/>
    <mergeCell ref="F56:R56"/>
    <mergeCell ref="S56:T56"/>
    <mergeCell ref="U56:W56"/>
    <mergeCell ref="X56:Z56"/>
    <mergeCell ref="AA56:AD56"/>
    <mergeCell ref="AE56:AG56"/>
    <mergeCell ref="AH56:AM56"/>
    <mergeCell ref="B55:C55"/>
    <mergeCell ref="D55:E55"/>
    <mergeCell ref="F55:R55"/>
    <mergeCell ref="S55:T55"/>
    <mergeCell ref="U55:W55"/>
    <mergeCell ref="X55:Z55"/>
    <mergeCell ref="AA55:AD55"/>
    <mergeCell ref="AE55:AG55"/>
    <mergeCell ref="AH55:AM55"/>
    <mergeCell ref="B103:C103"/>
    <mergeCell ref="D103:E103"/>
    <mergeCell ref="F103:R103"/>
    <mergeCell ref="S103:T103"/>
    <mergeCell ref="U103:W103"/>
    <mergeCell ref="X103:Z103"/>
    <mergeCell ref="AA103:AD103"/>
    <mergeCell ref="AE103:AG103"/>
    <mergeCell ref="AH103:AM103"/>
    <mergeCell ref="B102:C102"/>
    <mergeCell ref="D102:E102"/>
    <mergeCell ref="F102:R102"/>
    <mergeCell ref="S102:T102"/>
    <mergeCell ref="U102:W102"/>
    <mergeCell ref="X102:Z102"/>
    <mergeCell ref="AA102:AD102"/>
    <mergeCell ref="AE102:AG102"/>
    <mergeCell ref="AH102:AM102"/>
    <mergeCell ref="B100:C100"/>
    <mergeCell ref="D100:E100"/>
    <mergeCell ref="F100:R100"/>
    <mergeCell ref="S100:T100"/>
    <mergeCell ref="U100:W100"/>
    <mergeCell ref="X100:Z100"/>
    <mergeCell ref="AA100:AD100"/>
    <mergeCell ref="AE100:AG100"/>
    <mergeCell ref="AH100:AM100"/>
    <mergeCell ref="B87:C87"/>
    <mergeCell ref="D87:E87"/>
    <mergeCell ref="F87:R87"/>
    <mergeCell ref="S87:T87"/>
    <mergeCell ref="U87:W87"/>
    <mergeCell ref="X87:Z87"/>
    <mergeCell ref="AA87:AD87"/>
    <mergeCell ref="AE87:AG87"/>
    <mergeCell ref="AH87:AM87"/>
    <mergeCell ref="B89:C89"/>
    <mergeCell ref="D89:E89"/>
    <mergeCell ref="F89:R89"/>
    <mergeCell ref="S89:T89"/>
    <mergeCell ref="U89:W89"/>
    <mergeCell ref="X89:Z89"/>
    <mergeCell ref="AA89:AD89"/>
    <mergeCell ref="AE89:AG89"/>
    <mergeCell ref="AH89:AM89"/>
    <mergeCell ref="B94:C94"/>
    <mergeCell ref="D94:E94"/>
    <mergeCell ref="F94:R94"/>
    <mergeCell ref="S94:T94"/>
    <mergeCell ref="U94:W94"/>
    <mergeCell ref="X94:Z94"/>
    <mergeCell ref="AA94:AD94"/>
    <mergeCell ref="AE94:AG94"/>
    <mergeCell ref="AH94:AM94"/>
    <mergeCell ref="B97:C97"/>
    <mergeCell ref="D97:E97"/>
    <mergeCell ref="F97:R97"/>
    <mergeCell ref="S97:T97"/>
    <mergeCell ref="U97:W97"/>
    <mergeCell ref="X97:Z97"/>
    <mergeCell ref="AA97:AD97"/>
    <mergeCell ref="AE97:AG97"/>
    <mergeCell ref="AH97:AM97"/>
    <mergeCell ref="B96:C96"/>
    <mergeCell ref="D96:E96"/>
    <mergeCell ref="F96:R96"/>
    <mergeCell ref="S96:T96"/>
    <mergeCell ref="U96:W96"/>
    <mergeCell ref="X96:Z96"/>
    <mergeCell ref="AA96:AD96"/>
    <mergeCell ref="AE96:AG96"/>
    <mergeCell ref="AH96:AM96"/>
    <mergeCell ref="B95:C95"/>
    <mergeCell ref="D95:E95"/>
    <mergeCell ref="F95:R95"/>
    <mergeCell ref="S95:T95"/>
    <mergeCell ref="U95:W95"/>
    <mergeCell ref="X95:Z95"/>
    <mergeCell ref="AA95:AD95"/>
    <mergeCell ref="AE95:AG95"/>
    <mergeCell ref="AH95:AM95"/>
    <mergeCell ref="AE36:AG36"/>
    <mergeCell ref="AH36:AM36"/>
    <mergeCell ref="AE38:AG38"/>
    <mergeCell ref="B43:C43"/>
    <mergeCell ref="D43:E43"/>
    <mergeCell ref="F43:R43"/>
    <mergeCell ref="S43:T43"/>
    <mergeCell ref="U43:W43"/>
    <mergeCell ref="X43:Z43"/>
    <mergeCell ref="AA43:AD43"/>
    <mergeCell ref="AE43:AG43"/>
    <mergeCell ref="AH43:AM43"/>
    <mergeCell ref="AA39:AD39"/>
    <mergeCell ref="AE39:AG39"/>
    <mergeCell ref="AE41:AG41"/>
    <mergeCell ref="B40:C40"/>
    <mergeCell ref="D40:E40"/>
    <mergeCell ref="F40:R40"/>
    <mergeCell ref="S40:T40"/>
    <mergeCell ref="AE40:AG40"/>
    <mergeCell ref="AA42:AD42"/>
    <mergeCell ref="AE42:AG42"/>
    <mergeCell ref="B39:C39"/>
    <mergeCell ref="D39:E39"/>
    <mergeCell ref="F33:R33"/>
    <mergeCell ref="S33:T33"/>
    <mergeCell ref="U33:W33"/>
    <mergeCell ref="X33:Z33"/>
    <mergeCell ref="AA33:AD33"/>
    <mergeCell ref="AE33:AG33"/>
    <mergeCell ref="AH33:AM33"/>
    <mergeCell ref="B34:C34"/>
    <mergeCell ref="D34:E34"/>
    <mergeCell ref="F34:R34"/>
    <mergeCell ref="S34:T34"/>
    <mergeCell ref="U34:W34"/>
    <mergeCell ref="X34:Z34"/>
    <mergeCell ref="AA34:AD34"/>
    <mergeCell ref="AE34:AG34"/>
    <mergeCell ref="AH34:AM34"/>
    <mergeCell ref="D32:E32"/>
    <mergeCell ref="F32:R32"/>
    <mergeCell ref="S32:T32"/>
    <mergeCell ref="U32:W32"/>
    <mergeCell ref="X32:Z32"/>
    <mergeCell ref="AA32:AD32"/>
    <mergeCell ref="AE32:AG32"/>
    <mergeCell ref="AH32:AM32"/>
    <mergeCell ref="B91:C91"/>
    <mergeCell ref="D91:E91"/>
    <mergeCell ref="F91:R91"/>
    <mergeCell ref="S91:T91"/>
    <mergeCell ref="U91:W91"/>
    <mergeCell ref="X91:Z91"/>
    <mergeCell ref="AA91:AD91"/>
    <mergeCell ref="AE91:AG91"/>
    <mergeCell ref="AH91:AM91"/>
    <mergeCell ref="B38:C38"/>
    <mergeCell ref="D38:E38"/>
    <mergeCell ref="F38:R38"/>
    <mergeCell ref="S38:T38"/>
    <mergeCell ref="U38:W38"/>
    <mergeCell ref="B33:C33"/>
    <mergeCell ref="D33:E33"/>
    <mergeCell ref="AW31:AY31"/>
    <mergeCell ref="AW37:AY37"/>
    <mergeCell ref="AW38:AY38"/>
    <mergeCell ref="AW39:AY39"/>
    <mergeCell ref="AW64:AY64"/>
    <mergeCell ref="AW65:AY65"/>
    <mergeCell ref="AH44:AM44"/>
    <mergeCell ref="AH46:AM46"/>
    <mergeCell ref="AH42:AM42"/>
    <mergeCell ref="AH51:AM51"/>
    <mergeCell ref="AH50:AM50"/>
    <mergeCell ref="AH38:AM38"/>
    <mergeCell ref="AH39:AM39"/>
    <mergeCell ref="AH41:AM41"/>
    <mergeCell ref="AH40:AM40"/>
    <mergeCell ref="AH35:AM35"/>
    <mergeCell ref="AH62:AM62"/>
    <mergeCell ref="AH63:AM63"/>
    <mergeCell ref="AH52:AM52"/>
    <mergeCell ref="AH53:AM53"/>
    <mergeCell ref="AH45:AM45"/>
    <mergeCell ref="AW66:AY66"/>
    <mergeCell ref="AW42:AY42"/>
    <mergeCell ref="AW75:AY75"/>
    <mergeCell ref="AW76:AY76"/>
    <mergeCell ref="AW77:AY77"/>
    <mergeCell ref="AW44:AY44"/>
    <mergeCell ref="AW46:AY46"/>
    <mergeCell ref="AW51:AY51"/>
    <mergeCell ref="AW59:AY59"/>
    <mergeCell ref="AW60:AY60"/>
    <mergeCell ref="AW62:AY62"/>
    <mergeCell ref="AW63:AY63"/>
    <mergeCell ref="A14:V14"/>
    <mergeCell ref="W14:AE14"/>
    <mergeCell ref="AF14:AM14"/>
    <mergeCell ref="P18:W19"/>
    <mergeCell ref="X18:AH19"/>
    <mergeCell ref="AI18:AM19"/>
    <mergeCell ref="K20:L20"/>
    <mergeCell ref="A27:A29"/>
    <mergeCell ref="F27:R29"/>
    <mergeCell ref="S27:T29"/>
    <mergeCell ref="U27:W29"/>
    <mergeCell ref="X27:AM27"/>
    <mergeCell ref="A18:O19"/>
    <mergeCell ref="V24:W24"/>
    <mergeCell ref="AR27:AS27"/>
    <mergeCell ref="D28:E28"/>
    <mergeCell ref="X28:AD28"/>
    <mergeCell ref="AE28:AM28"/>
    <mergeCell ref="X29:Z29"/>
    <mergeCell ref="AA29:AD29"/>
    <mergeCell ref="AE29:AG29"/>
    <mergeCell ref="AH29:AM29"/>
    <mergeCell ref="J25:O25"/>
    <mergeCell ref="V25:W25"/>
    <mergeCell ref="B32:C32"/>
    <mergeCell ref="AW30:AY30"/>
    <mergeCell ref="A2:AM3"/>
    <mergeCell ref="A5:X5"/>
    <mergeCell ref="AD5:AM5"/>
    <mergeCell ref="A8:AC8"/>
    <mergeCell ref="AD8:AM8"/>
    <mergeCell ref="A11:V11"/>
    <mergeCell ref="W11:AK11"/>
    <mergeCell ref="AL11:AM11"/>
    <mergeCell ref="X20:AM25"/>
    <mergeCell ref="K21:L21"/>
    <mergeCell ref="N21:O21"/>
    <mergeCell ref="V21:W21"/>
    <mergeCell ref="K22:L22"/>
    <mergeCell ref="N22:O22"/>
    <mergeCell ref="V22:W22"/>
    <mergeCell ref="K23:L23"/>
    <mergeCell ref="N20:O20"/>
    <mergeCell ref="V20:W20"/>
    <mergeCell ref="N23:O23"/>
    <mergeCell ref="V23:W23"/>
    <mergeCell ref="K24:L24"/>
    <mergeCell ref="N24:O24"/>
    <mergeCell ref="B30:C30"/>
    <mergeCell ref="D30:E30"/>
    <mergeCell ref="F30:R30"/>
    <mergeCell ref="S30:T30"/>
    <mergeCell ref="U30:W30"/>
    <mergeCell ref="X30:Z30"/>
    <mergeCell ref="AA30:AD30"/>
    <mergeCell ref="AH31:AM31"/>
    <mergeCell ref="F37:R37"/>
    <mergeCell ref="X37:Z37"/>
    <mergeCell ref="AA37:AD37"/>
    <mergeCell ref="AE37:AG37"/>
    <mergeCell ref="AH37:AM37"/>
    <mergeCell ref="AE30:AG30"/>
    <mergeCell ref="AH30:AM30"/>
    <mergeCell ref="B31:C31"/>
    <mergeCell ref="D31:E31"/>
    <mergeCell ref="F31:R31"/>
    <mergeCell ref="S31:T31"/>
    <mergeCell ref="U31:W31"/>
    <mergeCell ref="X31:Z31"/>
    <mergeCell ref="AA31:AD31"/>
    <mergeCell ref="AE31:AG31"/>
    <mergeCell ref="AE35:AG35"/>
    <mergeCell ref="B45:C45"/>
    <mergeCell ref="D45:E45"/>
    <mergeCell ref="F45:R45"/>
    <mergeCell ref="AA44:AD44"/>
    <mergeCell ref="AE44:AG44"/>
    <mergeCell ref="S45:T45"/>
    <mergeCell ref="U45:W45"/>
    <mergeCell ref="X45:Z45"/>
    <mergeCell ref="AA45:AD45"/>
    <mergeCell ref="AE45:AG45"/>
    <mergeCell ref="B46:C46"/>
    <mergeCell ref="D46:E46"/>
    <mergeCell ref="F46:R46"/>
    <mergeCell ref="S46:T46"/>
    <mergeCell ref="U46:W46"/>
    <mergeCell ref="X46:Z46"/>
    <mergeCell ref="AE46:AG46"/>
    <mergeCell ref="AA46:AD46"/>
    <mergeCell ref="B53:C53"/>
    <mergeCell ref="D53:E53"/>
    <mergeCell ref="AA53:AD53"/>
    <mergeCell ref="AE53:AG53"/>
    <mergeCell ref="X53:Z53"/>
    <mergeCell ref="B50:C50"/>
    <mergeCell ref="D50:E50"/>
    <mergeCell ref="F50:R50"/>
    <mergeCell ref="S50:T50"/>
    <mergeCell ref="B47:C47"/>
    <mergeCell ref="D47:E47"/>
    <mergeCell ref="F47:R47"/>
    <mergeCell ref="S47:T47"/>
    <mergeCell ref="U47:W47"/>
    <mergeCell ref="X47:Z47"/>
    <mergeCell ref="AA47:AD47"/>
    <mergeCell ref="B54:C54"/>
    <mergeCell ref="U50:W50"/>
    <mergeCell ref="X50:Z50"/>
    <mergeCell ref="AE50:AG50"/>
    <mergeCell ref="AA50:AD50"/>
    <mergeCell ref="AE51:AG51"/>
    <mergeCell ref="B51:C51"/>
    <mergeCell ref="D51:E51"/>
    <mergeCell ref="F51:R51"/>
    <mergeCell ref="S51:T51"/>
    <mergeCell ref="U51:W51"/>
    <mergeCell ref="X51:Z51"/>
    <mergeCell ref="AA51:AD51"/>
    <mergeCell ref="B52:C52"/>
    <mergeCell ref="D52:E52"/>
    <mergeCell ref="F52:R52"/>
    <mergeCell ref="S52:T52"/>
    <mergeCell ref="U52:W52"/>
    <mergeCell ref="X52:Z52"/>
    <mergeCell ref="AA52:AD52"/>
    <mergeCell ref="AE52:AG52"/>
    <mergeCell ref="F53:R53"/>
    <mergeCell ref="S53:T53"/>
    <mergeCell ref="U53:W53"/>
    <mergeCell ref="AE60:AG60"/>
    <mergeCell ref="AA59:AD59"/>
    <mergeCell ref="AE59:AG59"/>
    <mergeCell ref="AH59:AM59"/>
    <mergeCell ref="AH60:AM60"/>
    <mergeCell ref="B60:C60"/>
    <mergeCell ref="D60:E60"/>
    <mergeCell ref="F60:R60"/>
    <mergeCell ref="S60:T60"/>
    <mergeCell ref="U60:W60"/>
    <mergeCell ref="X60:Z60"/>
    <mergeCell ref="AA60:AD60"/>
    <mergeCell ref="B59:C59"/>
    <mergeCell ref="D59:E59"/>
    <mergeCell ref="F59:R59"/>
    <mergeCell ref="S59:T59"/>
    <mergeCell ref="U59:W59"/>
    <mergeCell ref="X59:Z59"/>
    <mergeCell ref="AE64:AG64"/>
    <mergeCell ref="AH64:AM64"/>
    <mergeCell ref="AA64:AD64"/>
    <mergeCell ref="AA62:AD62"/>
    <mergeCell ref="U64:W64"/>
    <mergeCell ref="X64:Z64"/>
    <mergeCell ref="AA104:AD104"/>
    <mergeCell ref="AE104:AG104"/>
    <mergeCell ref="AH104:AM104"/>
    <mergeCell ref="X104:Z104"/>
    <mergeCell ref="AE75:AG75"/>
    <mergeCell ref="AH75:AM75"/>
    <mergeCell ref="AA75:AD75"/>
    <mergeCell ref="AH66:AM66"/>
    <mergeCell ref="AE74:AG74"/>
    <mergeCell ref="AH74:AM74"/>
    <mergeCell ref="AE80:AG80"/>
    <mergeCell ref="AH80:AM80"/>
    <mergeCell ref="AA90:AD90"/>
    <mergeCell ref="U63:W63"/>
    <mergeCell ref="U62:W62"/>
    <mergeCell ref="AE62:AG62"/>
    <mergeCell ref="AA63:AD63"/>
    <mergeCell ref="AE63:AG63"/>
    <mergeCell ref="B99:C99"/>
    <mergeCell ref="D99:E99"/>
    <mergeCell ref="F99:R99"/>
    <mergeCell ref="S99:T99"/>
    <mergeCell ref="U99:W99"/>
    <mergeCell ref="X99:Z99"/>
    <mergeCell ref="AA99:AD99"/>
    <mergeCell ref="AE99:AG99"/>
    <mergeCell ref="AH99:AM99"/>
    <mergeCell ref="B98:C98"/>
    <mergeCell ref="D98:E98"/>
    <mergeCell ref="F98:R98"/>
    <mergeCell ref="S98:T98"/>
    <mergeCell ref="U98:W98"/>
    <mergeCell ref="X98:Z98"/>
    <mergeCell ref="U75:W75"/>
    <mergeCell ref="B78:C78"/>
    <mergeCell ref="D75:E75"/>
    <mergeCell ref="F76:R76"/>
    <mergeCell ref="S75:T75"/>
    <mergeCell ref="X75:Z75"/>
    <mergeCell ref="B77:C77"/>
    <mergeCell ref="D77:E77"/>
    <mergeCell ref="F77:R77"/>
    <mergeCell ref="S77:T77"/>
    <mergeCell ref="U77:W77"/>
    <mergeCell ref="B76:C76"/>
    <mergeCell ref="D76:E76"/>
    <mergeCell ref="S76:T76"/>
    <mergeCell ref="U76:W76"/>
    <mergeCell ref="B80:C80"/>
    <mergeCell ref="D80:E80"/>
    <mergeCell ref="X77:Z77"/>
    <mergeCell ref="AE65:AG65"/>
    <mergeCell ref="AH65:AM65"/>
    <mergeCell ref="AA66:AD66"/>
    <mergeCell ref="AE66:AG66"/>
    <mergeCell ref="B65:C65"/>
    <mergeCell ref="D65:E65"/>
    <mergeCell ref="F65:R65"/>
    <mergeCell ref="S65:T65"/>
    <mergeCell ref="U65:W65"/>
    <mergeCell ref="X65:Z65"/>
    <mergeCell ref="AA65:AD65"/>
    <mergeCell ref="X74:Z74"/>
    <mergeCell ref="AA74:AD74"/>
    <mergeCell ref="B67:C67"/>
    <mergeCell ref="D67:E67"/>
    <mergeCell ref="F67:R67"/>
    <mergeCell ref="S67:T67"/>
    <mergeCell ref="U67:W67"/>
    <mergeCell ref="B71:C71"/>
    <mergeCell ref="D71:E71"/>
    <mergeCell ref="AA69:AD69"/>
    <mergeCell ref="X67:Z67"/>
    <mergeCell ref="AA67:AD67"/>
    <mergeCell ref="S71:T71"/>
    <mergeCell ref="U71:W71"/>
    <mergeCell ref="X71:Z71"/>
    <mergeCell ref="AA71:AD71"/>
    <mergeCell ref="B73:C73"/>
    <mergeCell ref="B74:C74"/>
    <mergeCell ref="D68:E68"/>
    <mergeCell ref="F68:R68"/>
    <mergeCell ref="S68:T68"/>
    <mergeCell ref="U68:W68"/>
    <mergeCell ref="X68:Z68"/>
    <mergeCell ref="AA68:AD68"/>
    <mergeCell ref="X90:Z90"/>
    <mergeCell ref="AA78:AD78"/>
    <mergeCell ref="AE78:AG78"/>
    <mergeCell ref="AH78:AM78"/>
    <mergeCell ref="AH76:AM76"/>
    <mergeCell ref="AE76:AG76"/>
    <mergeCell ref="AA80:AD80"/>
    <mergeCell ref="AA79:AD79"/>
    <mergeCell ref="AE79:AG79"/>
    <mergeCell ref="AH79:AM79"/>
    <mergeCell ref="X79:Z79"/>
    <mergeCell ref="X76:Z76"/>
    <mergeCell ref="AA76:AD76"/>
    <mergeCell ref="AA77:AD77"/>
    <mergeCell ref="AE77:AG77"/>
    <mergeCell ref="AH77:AM77"/>
    <mergeCell ref="AA86:AD86"/>
    <mergeCell ref="AE86:AG86"/>
    <mergeCell ref="AH86:AM86"/>
    <mergeCell ref="X86:Z86"/>
    <mergeCell ref="AW78:AY78"/>
    <mergeCell ref="AW98:AY98"/>
    <mergeCell ref="D78:E78"/>
    <mergeCell ref="F78:R78"/>
    <mergeCell ref="S78:T78"/>
    <mergeCell ref="U78:W78"/>
    <mergeCell ref="X78:Z78"/>
    <mergeCell ref="U80:W80"/>
    <mergeCell ref="X80:Z80"/>
    <mergeCell ref="F80:R80"/>
    <mergeCell ref="S80:T80"/>
    <mergeCell ref="AA83:AD83"/>
    <mergeCell ref="AE83:AG83"/>
    <mergeCell ref="AH83:AM83"/>
    <mergeCell ref="AA98:AD98"/>
    <mergeCell ref="AE98:AG98"/>
    <mergeCell ref="AH98:AM98"/>
    <mergeCell ref="AH82:AM82"/>
    <mergeCell ref="AE90:AG90"/>
    <mergeCell ref="AH90:AM90"/>
    <mergeCell ref="U84:W84"/>
    <mergeCell ref="X84:Z84"/>
    <mergeCell ref="AA84:AD84"/>
    <mergeCell ref="AE84:AG84"/>
    <mergeCell ref="S62:T62"/>
    <mergeCell ref="B75:C75"/>
    <mergeCell ref="B62:C62"/>
    <mergeCell ref="D62:E62"/>
    <mergeCell ref="B90:C90"/>
    <mergeCell ref="D90:E90"/>
    <mergeCell ref="F90:R90"/>
    <mergeCell ref="S90:T90"/>
    <mergeCell ref="U90:W90"/>
    <mergeCell ref="D74:E74"/>
    <mergeCell ref="F74:R74"/>
    <mergeCell ref="S74:T74"/>
    <mergeCell ref="U74:W74"/>
    <mergeCell ref="F75:R75"/>
    <mergeCell ref="B86:C86"/>
    <mergeCell ref="D86:E86"/>
    <mergeCell ref="F86:R86"/>
    <mergeCell ref="S86:T86"/>
    <mergeCell ref="U86:W86"/>
    <mergeCell ref="B79:C79"/>
    <mergeCell ref="D79:E79"/>
    <mergeCell ref="F79:R79"/>
    <mergeCell ref="S79:T79"/>
    <mergeCell ref="U79:W79"/>
    <mergeCell ref="X62:Z62"/>
    <mergeCell ref="X63:Z63"/>
    <mergeCell ref="B69:C69"/>
    <mergeCell ref="D69:E69"/>
    <mergeCell ref="F69:R69"/>
    <mergeCell ref="S69:T69"/>
    <mergeCell ref="U69:W69"/>
    <mergeCell ref="X69:Z69"/>
    <mergeCell ref="B64:C64"/>
    <mergeCell ref="D64:E64"/>
    <mergeCell ref="B66:C66"/>
    <mergeCell ref="D66:E66"/>
    <mergeCell ref="F66:R66"/>
    <mergeCell ref="S66:T66"/>
    <mergeCell ref="X66:Z66"/>
    <mergeCell ref="U66:W66"/>
    <mergeCell ref="F64:R64"/>
    <mergeCell ref="S64:T64"/>
    <mergeCell ref="B63:C63"/>
    <mergeCell ref="D63:E63"/>
    <mergeCell ref="F63:R63"/>
    <mergeCell ref="S63:T63"/>
    <mergeCell ref="F62:R62"/>
    <mergeCell ref="B68:C68"/>
    <mergeCell ref="B81:C81"/>
    <mergeCell ref="D81:E81"/>
    <mergeCell ref="F81:R81"/>
    <mergeCell ref="S81:T81"/>
    <mergeCell ref="U81:W81"/>
    <mergeCell ref="X81:Z81"/>
    <mergeCell ref="AA81:AD81"/>
    <mergeCell ref="AE81:AG81"/>
    <mergeCell ref="AH81:AM81"/>
    <mergeCell ref="B82:C82"/>
    <mergeCell ref="D82:E82"/>
    <mergeCell ref="F82:R82"/>
    <mergeCell ref="S82:T82"/>
    <mergeCell ref="U82:W82"/>
    <mergeCell ref="X82:Z82"/>
    <mergeCell ref="AA82:AD82"/>
    <mergeCell ref="AE82:AG82"/>
    <mergeCell ref="AH84:AM84"/>
    <mergeCell ref="B83:C83"/>
    <mergeCell ref="D83:E83"/>
    <mergeCell ref="F83:R83"/>
    <mergeCell ref="S83:T83"/>
    <mergeCell ref="U83:W83"/>
    <mergeCell ref="X83:Z83"/>
    <mergeCell ref="B84:C84"/>
    <mergeCell ref="D84:E84"/>
    <mergeCell ref="F84:R84"/>
    <mergeCell ref="S84:T84"/>
    <mergeCell ref="B85:C85"/>
    <mergeCell ref="D85:E85"/>
    <mergeCell ref="F85:R85"/>
    <mergeCell ref="S85:T85"/>
    <mergeCell ref="U85:W85"/>
    <mergeCell ref="X85:Z85"/>
    <mergeCell ref="AA85:AD85"/>
    <mergeCell ref="AE85:AG85"/>
    <mergeCell ref="AH85:AM85"/>
    <mergeCell ref="F39:R39"/>
    <mergeCell ref="S39:T39"/>
    <mergeCell ref="U39:W39"/>
    <mergeCell ref="X39:Z39"/>
    <mergeCell ref="U44:W44"/>
    <mergeCell ref="X44:Z44"/>
    <mergeCell ref="U40:W40"/>
    <mergeCell ref="X40:Z40"/>
    <mergeCell ref="B42:C42"/>
    <mergeCell ref="D42:E42"/>
    <mergeCell ref="F42:R42"/>
    <mergeCell ref="S42:T42"/>
    <mergeCell ref="U42:W42"/>
    <mergeCell ref="X42:Z42"/>
    <mergeCell ref="B44:C44"/>
    <mergeCell ref="D44:E44"/>
    <mergeCell ref="F44:R44"/>
    <mergeCell ref="S44:T44"/>
    <mergeCell ref="B35:C35"/>
    <mergeCell ref="D35:E35"/>
    <mergeCell ref="F35:R35"/>
    <mergeCell ref="S35:T35"/>
    <mergeCell ref="U35:W35"/>
    <mergeCell ref="X35:Z35"/>
    <mergeCell ref="AA35:AD35"/>
    <mergeCell ref="B41:C41"/>
    <mergeCell ref="D41:E41"/>
    <mergeCell ref="F41:R41"/>
    <mergeCell ref="S41:T41"/>
    <mergeCell ref="U41:W41"/>
    <mergeCell ref="X41:Z41"/>
    <mergeCell ref="AA41:AD41"/>
    <mergeCell ref="X38:Z38"/>
    <mergeCell ref="AA38:AD38"/>
    <mergeCell ref="B36:C36"/>
    <mergeCell ref="D36:E36"/>
    <mergeCell ref="AA40:AD40"/>
    <mergeCell ref="F36:R36"/>
    <mergeCell ref="S36:T36"/>
    <mergeCell ref="U36:W36"/>
    <mergeCell ref="X36:Z36"/>
    <mergeCell ref="AA36:AD36"/>
    <mergeCell ref="D54:E54"/>
    <mergeCell ref="F54:R54"/>
    <mergeCell ref="S54:T54"/>
    <mergeCell ref="U54:W54"/>
    <mergeCell ref="X54:Z54"/>
    <mergeCell ref="AA54:AD54"/>
    <mergeCell ref="AE54:AG54"/>
    <mergeCell ref="AH54:AM54"/>
    <mergeCell ref="E106:AL109"/>
    <mergeCell ref="AE67:AG67"/>
    <mergeCell ref="AH67:AM67"/>
    <mergeCell ref="AE69:AG69"/>
    <mergeCell ref="AH69:AM69"/>
    <mergeCell ref="D73:E73"/>
    <mergeCell ref="F73:R73"/>
    <mergeCell ref="S73:T73"/>
    <mergeCell ref="U73:W73"/>
    <mergeCell ref="X73:Z73"/>
    <mergeCell ref="AA73:AD73"/>
    <mergeCell ref="AE73:AG73"/>
    <mergeCell ref="AH73:AM73"/>
    <mergeCell ref="F71:R71"/>
    <mergeCell ref="AE71:AG71"/>
    <mergeCell ref="AH71:AM71"/>
    <mergeCell ref="B58:C58"/>
    <mergeCell ref="D58:E58"/>
    <mergeCell ref="F58:R58"/>
    <mergeCell ref="S58:T58"/>
    <mergeCell ref="U58:W58"/>
    <mergeCell ref="X58:Z58"/>
    <mergeCell ref="AA58:AD58"/>
    <mergeCell ref="AE58:AG58"/>
    <mergeCell ref="AH58:AM58"/>
    <mergeCell ref="B92:C92"/>
    <mergeCell ref="D92:E92"/>
    <mergeCell ref="F92:R92"/>
    <mergeCell ref="S92:T92"/>
    <mergeCell ref="U92:W92"/>
    <mergeCell ref="X92:Z92"/>
    <mergeCell ref="AA92:AD92"/>
    <mergeCell ref="AE92:AG92"/>
    <mergeCell ref="AH92:AM92"/>
    <mergeCell ref="B93:C93"/>
    <mergeCell ref="D93:E93"/>
    <mergeCell ref="F93:R93"/>
    <mergeCell ref="S93:T93"/>
    <mergeCell ref="U93:W93"/>
    <mergeCell ref="X93:Z93"/>
    <mergeCell ref="AA93:AD93"/>
    <mergeCell ref="AE93:AG93"/>
    <mergeCell ref="AH93:AM93"/>
    <mergeCell ref="B88:C88"/>
    <mergeCell ref="D88:E88"/>
    <mergeCell ref="F88:R88"/>
    <mergeCell ref="S88:T88"/>
    <mergeCell ref="U88:W88"/>
    <mergeCell ref="X88:Z88"/>
    <mergeCell ref="AA88:AD88"/>
    <mergeCell ref="AE88:AG88"/>
    <mergeCell ref="AH88:AM88"/>
    <mergeCell ref="AE68:AG68"/>
    <mergeCell ref="AH68:AM68"/>
    <mergeCell ref="B70:C70"/>
    <mergeCell ref="D70:E70"/>
    <mergeCell ref="F70:R70"/>
    <mergeCell ref="S70:T70"/>
    <mergeCell ref="U70:W70"/>
    <mergeCell ref="X70:Z70"/>
    <mergeCell ref="AA70:AD70"/>
    <mergeCell ref="AE70:AG70"/>
    <mergeCell ref="AH70:AM70"/>
    <mergeCell ref="B72:C72"/>
    <mergeCell ref="D72:E72"/>
    <mergeCell ref="F72:R72"/>
    <mergeCell ref="S72:T72"/>
    <mergeCell ref="U72:W72"/>
    <mergeCell ref="X72:Z72"/>
    <mergeCell ref="AA72:AD72"/>
    <mergeCell ref="AE72:AG72"/>
    <mergeCell ref="AH72:AM72"/>
    <mergeCell ref="AE47:AG47"/>
    <mergeCell ref="AH47:AM47"/>
    <mergeCell ref="B48:C48"/>
    <mergeCell ref="D48:E48"/>
    <mergeCell ref="F48:R48"/>
    <mergeCell ref="S48:T48"/>
    <mergeCell ref="U48:W48"/>
    <mergeCell ref="X48:Z48"/>
    <mergeCell ref="AA48:AD48"/>
    <mergeCell ref="AE48:AG48"/>
    <mergeCell ref="AH48:AM48"/>
    <mergeCell ref="B49:C49"/>
    <mergeCell ref="D49:E49"/>
    <mergeCell ref="F49:R49"/>
    <mergeCell ref="S49:T49"/>
    <mergeCell ref="U49:W49"/>
    <mergeCell ref="X49:Z49"/>
    <mergeCell ref="AA49:AD49"/>
    <mergeCell ref="AE49:AG49"/>
    <mergeCell ref="AH49:AM4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7" fitToHeight="0" orientation="portrait" r:id="rId1"/>
  <ignoredErrors>
    <ignoredError sqref="AA38:AG38 AA64:AG64 V62:W62 AA62:AD62 AA77:AG77 V66:W66 V31:W31 AA31:AD31 V42:W42 V39:W39 AA39:AD39 AA60:AG60 V44:W44 AA44:AD44 AA42:AD42 AA66:AD66 V46:W46 AA46:AD46 U60:W60 U76:W77 U63:W63 U37:W37 AF31:AG31 AF39:AG39 AF42:AG42 AF44:AG44 AF46:AG46 AF62:AG62 AF66:AG66 AB37:AG37 AB51:AG51 AB63:AG63 U38:W38 U51:W51 U64:W64 AE76:AG7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10" workbookViewId="0">
      <selection activeCell="G32" sqref="G32"/>
    </sheetView>
  </sheetViews>
  <sheetFormatPr defaultRowHeight="13.2" x14ac:dyDescent="0.25"/>
  <cols>
    <col min="1" max="1" width="6.44140625" customWidth="1"/>
    <col min="2" max="2" width="29.33203125" customWidth="1"/>
    <col min="3" max="3" width="9.33203125" customWidth="1"/>
    <col min="4" max="4" width="14.6640625" customWidth="1"/>
    <col min="5" max="5" width="12.109375" customWidth="1"/>
    <col min="6" max="6" width="12.44140625" bestFit="1" customWidth="1"/>
    <col min="7" max="7" width="12.44140625" style="51" customWidth="1"/>
    <col min="8" max="8" width="12.88671875" customWidth="1"/>
    <col min="9" max="9" width="11.6640625" bestFit="1" customWidth="1"/>
  </cols>
  <sheetData>
    <row r="1" spans="1:9" ht="13.8" thickBot="1" x14ac:dyDescent="0.3">
      <c r="A1" s="136"/>
      <c r="B1" s="137"/>
      <c r="C1" s="138"/>
      <c r="D1" s="138"/>
      <c r="E1" s="137"/>
      <c r="F1" s="137"/>
      <c r="G1" s="137"/>
      <c r="H1" s="139"/>
      <c r="I1" s="203"/>
    </row>
    <row r="2" spans="1:9" ht="13.8" thickBot="1" x14ac:dyDescent="0.3">
      <c r="A2" s="497" t="s">
        <v>73</v>
      </c>
      <c r="B2" s="498"/>
      <c r="C2" s="498"/>
      <c r="D2" s="498"/>
      <c r="E2" s="498"/>
      <c r="F2" s="498"/>
      <c r="G2" s="499"/>
      <c r="H2" s="499"/>
      <c r="I2" s="215"/>
    </row>
    <row r="3" spans="1:9" x14ac:dyDescent="0.25">
      <c r="A3" s="500"/>
      <c r="B3" s="501"/>
      <c r="C3" s="501"/>
      <c r="D3" s="501"/>
      <c r="E3" s="501"/>
      <c r="F3" s="501"/>
      <c r="G3" s="501"/>
      <c r="H3" s="501"/>
      <c r="I3" s="213"/>
    </row>
    <row r="4" spans="1:9" x14ac:dyDescent="0.25">
      <c r="A4" s="140"/>
      <c r="B4" s="141"/>
      <c r="C4" s="142"/>
      <c r="D4" s="142"/>
      <c r="E4" s="141"/>
      <c r="F4" s="141"/>
      <c r="G4" s="141"/>
      <c r="H4" s="141"/>
      <c r="I4" s="213"/>
    </row>
    <row r="5" spans="1:9" ht="13.8" thickBot="1" x14ac:dyDescent="0.3">
      <c r="A5" s="497" t="s">
        <v>133</v>
      </c>
      <c r="B5" s="498"/>
      <c r="C5" s="498"/>
      <c r="D5" s="498"/>
      <c r="E5" s="498"/>
      <c r="F5" s="498"/>
      <c r="G5" s="499"/>
      <c r="H5" s="499"/>
      <c r="I5" s="216"/>
    </row>
    <row r="6" spans="1:9" x14ac:dyDescent="0.25">
      <c r="A6" s="502" t="s">
        <v>134</v>
      </c>
      <c r="B6" s="503"/>
      <c r="C6" s="504"/>
      <c r="D6" s="504"/>
      <c r="E6" s="504"/>
      <c r="F6" s="504"/>
      <c r="G6" s="504"/>
      <c r="H6" s="504"/>
      <c r="I6" s="217"/>
    </row>
    <row r="7" spans="1:9" ht="13.8" thickBot="1" x14ac:dyDescent="0.3">
      <c r="A7" s="492" t="s">
        <v>135</v>
      </c>
      <c r="B7" s="493"/>
      <c r="C7" s="494" t="s">
        <v>145</v>
      </c>
      <c r="D7" s="495"/>
      <c r="E7" s="495"/>
      <c r="F7" s="495"/>
      <c r="G7" s="495"/>
      <c r="H7" s="495"/>
      <c r="I7" s="216"/>
    </row>
    <row r="8" spans="1:9" ht="30.6" x14ac:dyDescent="0.25">
      <c r="A8" s="143" t="s">
        <v>0</v>
      </c>
      <c r="B8" s="144" t="s">
        <v>136</v>
      </c>
      <c r="C8" s="145" t="s">
        <v>137</v>
      </c>
      <c r="D8" s="145" t="s">
        <v>138</v>
      </c>
      <c r="E8" s="144" t="s">
        <v>139</v>
      </c>
      <c r="F8" s="144" t="s">
        <v>140</v>
      </c>
      <c r="G8" s="146" t="s">
        <v>141</v>
      </c>
      <c r="H8" s="202" t="s">
        <v>196</v>
      </c>
      <c r="I8" s="218" t="s">
        <v>144</v>
      </c>
    </row>
    <row r="9" spans="1:9" ht="12.75" customHeight="1" x14ac:dyDescent="0.25">
      <c r="A9" s="496">
        <v>1</v>
      </c>
      <c r="B9" s="485" t="s">
        <v>64</v>
      </c>
      <c r="C9" s="147" t="s">
        <v>142</v>
      </c>
      <c r="D9" s="148">
        <v>1</v>
      </c>
      <c r="E9" s="148">
        <v>1</v>
      </c>
      <c r="F9" s="148"/>
      <c r="G9" s="149"/>
      <c r="H9" s="204"/>
      <c r="I9" s="219">
        <f>D9</f>
        <v>1</v>
      </c>
    </row>
    <row r="10" spans="1:9" ht="12.75" customHeight="1" x14ac:dyDescent="0.25">
      <c r="A10" s="491"/>
      <c r="B10" s="485"/>
      <c r="C10" s="150" t="s">
        <v>143</v>
      </c>
      <c r="D10" s="151">
        <v>8523.35</v>
      </c>
      <c r="E10" s="151">
        <f>D10</f>
        <v>8523.35</v>
      </c>
      <c r="F10" s="151"/>
      <c r="G10" s="152"/>
      <c r="H10" s="205"/>
      <c r="I10" s="221">
        <f>D10</f>
        <v>8523.35</v>
      </c>
    </row>
    <row r="11" spans="1:9" ht="12.75" customHeight="1" x14ac:dyDescent="0.25">
      <c r="A11" s="490">
        <v>2</v>
      </c>
      <c r="B11" s="485" t="s">
        <v>146</v>
      </c>
      <c r="C11" s="150" t="s">
        <v>142</v>
      </c>
      <c r="D11" s="148">
        <v>1</v>
      </c>
      <c r="E11" s="148">
        <v>1</v>
      </c>
      <c r="F11" s="148"/>
      <c r="G11" s="149"/>
      <c r="H11" s="204"/>
      <c r="I11" s="222">
        <f>D11</f>
        <v>1</v>
      </c>
    </row>
    <row r="12" spans="1:9" ht="12.75" customHeight="1" x14ac:dyDescent="0.25">
      <c r="A12" s="491"/>
      <c r="B12" s="485"/>
      <c r="C12" s="150" t="s">
        <v>143</v>
      </c>
      <c r="D12" s="151">
        <v>197285.18</v>
      </c>
      <c r="E12" s="151">
        <f>D12*E11</f>
        <v>197285.18</v>
      </c>
      <c r="F12" s="151"/>
      <c r="G12" s="152"/>
      <c r="H12" s="205"/>
      <c r="I12" s="221">
        <f>E12+F12</f>
        <v>197285.18</v>
      </c>
    </row>
    <row r="13" spans="1:9" ht="12.75" customHeight="1" x14ac:dyDescent="0.25">
      <c r="A13" s="490">
        <v>3</v>
      </c>
      <c r="B13" s="485" t="s">
        <v>167</v>
      </c>
      <c r="C13" s="150" t="s">
        <v>142</v>
      </c>
      <c r="D13" s="148">
        <v>1</v>
      </c>
      <c r="E13" s="148"/>
      <c r="F13" s="148"/>
      <c r="G13" s="149"/>
      <c r="H13" s="204">
        <v>1</v>
      </c>
      <c r="I13" s="222">
        <f>D13</f>
        <v>1</v>
      </c>
    </row>
    <row r="14" spans="1:9" ht="12.75" customHeight="1" x14ac:dyDescent="0.25">
      <c r="A14" s="491"/>
      <c r="B14" s="485"/>
      <c r="C14" s="150" t="s">
        <v>143</v>
      </c>
      <c r="D14" s="151">
        <v>238079.69</v>
      </c>
      <c r="E14" s="151"/>
      <c r="F14" s="151"/>
      <c r="G14" s="152"/>
      <c r="H14" s="205">
        <f>D14</f>
        <v>238079.69</v>
      </c>
      <c r="I14" s="221">
        <f>D14</f>
        <v>238079.69</v>
      </c>
    </row>
    <row r="15" spans="1:9" x14ac:dyDescent="0.25">
      <c r="A15" s="489">
        <v>4</v>
      </c>
      <c r="B15" s="485" t="s">
        <v>61</v>
      </c>
      <c r="C15" s="150" t="s">
        <v>142</v>
      </c>
      <c r="D15" s="148">
        <v>1</v>
      </c>
      <c r="E15" s="148"/>
      <c r="F15" s="148">
        <v>1</v>
      </c>
      <c r="G15" s="149"/>
      <c r="H15" s="204"/>
      <c r="I15" s="222">
        <f>F15</f>
        <v>1</v>
      </c>
    </row>
    <row r="16" spans="1:9" x14ac:dyDescent="0.25">
      <c r="A16" s="489"/>
      <c r="B16" s="485"/>
      <c r="C16" s="150" t="s">
        <v>143</v>
      </c>
      <c r="D16" s="151">
        <v>136732.78</v>
      </c>
      <c r="E16" s="151"/>
      <c r="F16" s="151">
        <f>D16</f>
        <v>136732.78</v>
      </c>
      <c r="G16" s="152"/>
      <c r="H16" s="205"/>
      <c r="I16" s="221">
        <f>F16</f>
        <v>136732.78</v>
      </c>
    </row>
    <row r="17" spans="1:9" x14ac:dyDescent="0.25">
      <c r="A17" s="489">
        <v>5</v>
      </c>
      <c r="B17" s="485" t="s">
        <v>63</v>
      </c>
      <c r="C17" s="150" t="s">
        <v>142</v>
      </c>
      <c r="D17" s="148">
        <v>1</v>
      </c>
      <c r="E17" s="148"/>
      <c r="F17" s="148"/>
      <c r="G17" s="149"/>
      <c r="H17" s="204">
        <v>1</v>
      </c>
      <c r="I17" s="222">
        <f>H17</f>
        <v>1</v>
      </c>
    </row>
    <row r="18" spans="1:9" x14ac:dyDescent="0.25">
      <c r="A18" s="489"/>
      <c r="B18" s="485"/>
      <c r="C18" s="150" t="s">
        <v>143</v>
      </c>
      <c r="D18" s="151">
        <v>43484.43</v>
      </c>
      <c r="E18" s="151"/>
      <c r="F18" s="151"/>
      <c r="G18" s="152"/>
      <c r="H18" s="205">
        <f>D18</f>
        <v>43484.43</v>
      </c>
      <c r="I18" s="221">
        <f>H18</f>
        <v>43484.43</v>
      </c>
    </row>
    <row r="19" spans="1:9" x14ac:dyDescent="0.25">
      <c r="A19" s="486">
        <v>6</v>
      </c>
      <c r="B19" s="487" t="s">
        <v>70</v>
      </c>
      <c r="C19" s="150" t="s">
        <v>142</v>
      </c>
      <c r="D19" s="148">
        <v>1</v>
      </c>
      <c r="E19" s="148"/>
      <c r="F19" s="148"/>
      <c r="G19" s="149">
        <v>1</v>
      </c>
      <c r="H19" s="204"/>
      <c r="I19" s="222">
        <f>G19+H19</f>
        <v>1</v>
      </c>
    </row>
    <row r="20" spans="1:9" x14ac:dyDescent="0.25">
      <c r="A20" s="486"/>
      <c r="B20" s="488"/>
      <c r="C20" s="150" t="s">
        <v>143</v>
      </c>
      <c r="D20" s="151">
        <v>397313.51</v>
      </c>
      <c r="E20" s="151"/>
      <c r="F20" s="151"/>
      <c r="G20" s="152">
        <f>G19*$D$20</f>
        <v>397313.51</v>
      </c>
      <c r="H20" s="205"/>
      <c r="I20" s="221">
        <f>G20+H20</f>
        <v>397313.51</v>
      </c>
    </row>
    <row r="21" spans="1:9" x14ac:dyDescent="0.25">
      <c r="A21" s="483">
        <v>7</v>
      </c>
      <c r="B21" s="485" t="s">
        <v>201</v>
      </c>
      <c r="C21" s="150" t="s">
        <v>142</v>
      </c>
      <c r="D21" s="148">
        <v>1</v>
      </c>
      <c r="E21" s="148"/>
      <c r="F21" s="148">
        <v>1</v>
      </c>
      <c r="G21" s="149"/>
      <c r="H21" s="204"/>
      <c r="I21" s="222">
        <f>F21</f>
        <v>1</v>
      </c>
    </row>
    <row r="22" spans="1:9" x14ac:dyDescent="0.25">
      <c r="A22" s="484"/>
      <c r="B22" s="485"/>
      <c r="C22" s="150" t="s">
        <v>143</v>
      </c>
      <c r="D22" s="151">
        <v>9274.83</v>
      </c>
      <c r="E22" s="151"/>
      <c r="F22" s="151">
        <f>D22</f>
        <v>9274.83</v>
      </c>
      <c r="G22" s="152"/>
      <c r="H22" s="205"/>
      <c r="I22" s="221">
        <f>F22</f>
        <v>9274.83</v>
      </c>
    </row>
    <row r="23" spans="1:9" x14ac:dyDescent="0.25">
      <c r="A23" s="483">
        <v>8</v>
      </c>
      <c r="B23" s="485" t="s">
        <v>254</v>
      </c>
      <c r="C23" s="150" t="s">
        <v>142</v>
      </c>
      <c r="D23" s="148">
        <v>1</v>
      </c>
      <c r="E23" s="148"/>
      <c r="F23" s="148"/>
      <c r="G23" s="149"/>
      <c r="H23" s="204">
        <v>1</v>
      </c>
      <c r="I23" s="222">
        <v>1</v>
      </c>
    </row>
    <row r="24" spans="1:9" x14ac:dyDescent="0.25">
      <c r="A24" s="484"/>
      <c r="B24" s="485"/>
      <c r="C24" s="150" t="s">
        <v>143</v>
      </c>
      <c r="D24" s="151">
        <v>50803.839999999997</v>
      </c>
      <c r="E24" s="151"/>
      <c r="F24" s="151"/>
      <c r="G24" s="152"/>
      <c r="H24" s="205">
        <f>D24</f>
        <v>50803.839999999997</v>
      </c>
      <c r="I24" s="221">
        <f>D24</f>
        <v>50803.839999999997</v>
      </c>
    </row>
    <row r="25" spans="1:9" x14ac:dyDescent="0.25">
      <c r="A25" s="472"/>
      <c r="B25" s="474"/>
      <c r="C25" s="150" t="s">
        <v>142</v>
      </c>
      <c r="D25" s="148"/>
      <c r="E25" s="148"/>
      <c r="F25" s="148"/>
      <c r="G25" s="149"/>
      <c r="H25" s="204"/>
      <c r="I25" s="222"/>
    </row>
    <row r="26" spans="1:9" x14ac:dyDescent="0.25">
      <c r="A26" s="472"/>
      <c r="B26" s="474"/>
      <c r="C26" s="150" t="s">
        <v>143</v>
      </c>
      <c r="D26" s="151"/>
      <c r="E26" s="151"/>
      <c r="F26" s="151"/>
      <c r="G26" s="152"/>
      <c r="H26" s="205"/>
      <c r="I26" s="221"/>
    </row>
    <row r="27" spans="1:9" x14ac:dyDescent="0.25">
      <c r="A27" s="472"/>
      <c r="B27" s="474"/>
      <c r="C27" s="150" t="s">
        <v>142</v>
      </c>
      <c r="D27" s="148"/>
      <c r="E27" s="148"/>
      <c r="F27" s="148"/>
      <c r="G27" s="149"/>
      <c r="H27" s="204"/>
      <c r="I27" s="222"/>
    </row>
    <row r="28" spans="1:9" x14ac:dyDescent="0.25">
      <c r="A28" s="472"/>
      <c r="B28" s="474"/>
      <c r="C28" s="150" t="s">
        <v>143</v>
      </c>
      <c r="D28" s="151"/>
      <c r="E28" s="151"/>
      <c r="F28" s="151"/>
      <c r="G28" s="152"/>
      <c r="H28" s="205"/>
      <c r="I28" s="221"/>
    </row>
    <row r="29" spans="1:9" x14ac:dyDescent="0.25">
      <c r="A29" s="481"/>
      <c r="B29" s="482"/>
      <c r="C29" s="150" t="s">
        <v>142</v>
      </c>
      <c r="D29" s="148"/>
      <c r="E29" s="148"/>
      <c r="F29" s="148"/>
      <c r="G29" s="149"/>
      <c r="H29" s="204"/>
      <c r="I29" s="222"/>
    </row>
    <row r="30" spans="1:9" x14ac:dyDescent="0.25">
      <c r="A30" s="481"/>
      <c r="B30" s="482"/>
      <c r="C30" s="150" t="s">
        <v>143</v>
      </c>
      <c r="D30" s="151"/>
      <c r="E30" s="151"/>
      <c r="F30" s="151"/>
      <c r="G30" s="152"/>
      <c r="H30" s="205"/>
      <c r="I30" s="221"/>
    </row>
    <row r="31" spans="1:9" x14ac:dyDescent="0.25">
      <c r="A31" s="472"/>
      <c r="B31" s="474"/>
      <c r="C31" s="150" t="s">
        <v>142</v>
      </c>
      <c r="D31" s="148"/>
      <c r="E31" s="148"/>
      <c r="F31" s="148"/>
      <c r="G31" s="149"/>
      <c r="H31" s="204"/>
      <c r="I31" s="222"/>
    </row>
    <row r="32" spans="1:9" x14ac:dyDescent="0.25">
      <c r="A32" s="473"/>
      <c r="B32" s="475"/>
      <c r="C32" s="153" t="s">
        <v>143</v>
      </c>
      <c r="D32" s="151"/>
      <c r="E32" s="151"/>
      <c r="F32" s="151"/>
      <c r="G32" s="152"/>
      <c r="H32" s="205"/>
      <c r="I32" s="221"/>
    </row>
    <row r="33" spans="1:9" x14ac:dyDescent="0.25">
      <c r="A33" s="476" t="s">
        <v>144</v>
      </c>
      <c r="B33" s="477"/>
      <c r="C33" s="154" t="s">
        <v>142</v>
      </c>
      <c r="D33" s="155">
        <v>1</v>
      </c>
      <c r="E33" s="155">
        <f>E34/$D$34</f>
        <v>0.19029956987144889</v>
      </c>
      <c r="F33" s="155">
        <f>F34/$D$34</f>
        <v>0.13500502326583966</v>
      </c>
      <c r="G33" s="156">
        <f>G34/$D$34</f>
        <v>0.36737345170832136</v>
      </c>
      <c r="H33" s="206">
        <v>0.34570000000000001</v>
      </c>
      <c r="I33" s="219">
        <f>H33+G33+F33+E33</f>
        <v>1.0383780448456099</v>
      </c>
    </row>
    <row r="34" spans="1:9" ht="13.8" thickBot="1" x14ac:dyDescent="0.3">
      <c r="A34" s="478"/>
      <c r="B34" s="479"/>
      <c r="C34" s="157" t="s">
        <v>143</v>
      </c>
      <c r="D34" s="158">
        <f>D10+D12+D14+D16+D18+D20+D22+D24</f>
        <v>1081497.6100000001</v>
      </c>
      <c r="E34" s="158">
        <v>205808.53</v>
      </c>
      <c r="F34" s="158">
        <v>146007.60999999999</v>
      </c>
      <c r="G34" s="159">
        <v>397313.51</v>
      </c>
      <c r="H34" s="207">
        <v>332367.96000000002</v>
      </c>
      <c r="I34" s="220">
        <f>E34+F34+G34+H34</f>
        <v>1081497.6100000001</v>
      </c>
    </row>
    <row r="35" spans="1:9" ht="13.8" thickBot="1" x14ac:dyDescent="0.3">
      <c r="A35" s="160"/>
      <c r="B35" s="161"/>
      <c r="C35" s="162"/>
      <c r="D35" s="162"/>
      <c r="E35" s="161"/>
      <c r="F35" s="161"/>
      <c r="G35" s="161"/>
      <c r="H35" s="161"/>
      <c r="I35" s="223"/>
    </row>
    <row r="36" spans="1:9" x14ac:dyDescent="0.25">
      <c r="A36" s="163"/>
      <c r="B36" s="164"/>
      <c r="C36" s="164"/>
      <c r="D36" s="164"/>
      <c r="E36" s="164"/>
      <c r="F36" s="165"/>
      <c r="G36" s="164"/>
      <c r="H36" s="208"/>
      <c r="I36" s="212"/>
    </row>
    <row r="37" spans="1:9" x14ac:dyDescent="0.25">
      <c r="A37" s="166"/>
      <c r="B37" s="167"/>
      <c r="C37" s="168"/>
      <c r="D37" s="168"/>
      <c r="E37" s="135"/>
      <c r="F37" s="123"/>
      <c r="G37" s="135"/>
      <c r="H37" s="209" t="s">
        <v>116</v>
      </c>
      <c r="I37" s="213"/>
    </row>
    <row r="38" spans="1:9" x14ac:dyDescent="0.25">
      <c r="A38" s="169"/>
      <c r="B38" s="131" t="s">
        <v>224</v>
      </c>
      <c r="C38" s="142"/>
      <c r="D38" s="480"/>
      <c r="E38" s="480"/>
      <c r="F38" s="123"/>
      <c r="G38" s="135"/>
      <c r="H38" s="210"/>
      <c r="I38" s="213"/>
    </row>
    <row r="39" spans="1:9" ht="13.8" thickBot="1" x14ac:dyDescent="0.3">
      <c r="A39" s="170"/>
      <c r="B39" s="171"/>
      <c r="C39" s="172"/>
      <c r="D39" s="172"/>
      <c r="E39" s="171"/>
      <c r="F39" s="173"/>
      <c r="G39" s="171"/>
      <c r="H39" s="211"/>
      <c r="I39" s="214"/>
    </row>
    <row r="40" spans="1:9" x14ac:dyDescent="0.25">
      <c r="A40" s="126"/>
      <c r="B40" s="134"/>
      <c r="C40" s="127"/>
      <c r="D40" s="127"/>
      <c r="E40" s="128"/>
      <c r="F40" s="125"/>
      <c r="G40" s="122"/>
      <c r="H40" s="124"/>
    </row>
    <row r="41" spans="1:9" x14ac:dyDescent="0.25">
      <c r="A41" s="129"/>
      <c r="B41" s="133"/>
      <c r="C41" s="130"/>
      <c r="D41" s="130"/>
      <c r="E41" s="122"/>
      <c r="F41" s="125"/>
      <c r="G41" s="122"/>
      <c r="H41" s="124"/>
    </row>
  </sheetData>
  <mergeCells count="33">
    <mergeCell ref="A7:B7"/>
    <mergeCell ref="C7:H7"/>
    <mergeCell ref="A9:A10"/>
    <mergeCell ref="B9:B10"/>
    <mergeCell ref="A2:H2"/>
    <mergeCell ref="A3:H3"/>
    <mergeCell ref="A5:H5"/>
    <mergeCell ref="A6:B6"/>
    <mergeCell ref="C6:H6"/>
    <mergeCell ref="A15:A16"/>
    <mergeCell ref="B15:B16"/>
    <mergeCell ref="A17:A18"/>
    <mergeCell ref="B17:B18"/>
    <mergeCell ref="A11:A12"/>
    <mergeCell ref="B11:B12"/>
    <mergeCell ref="A13:A14"/>
    <mergeCell ref="B13:B14"/>
    <mergeCell ref="A23:A24"/>
    <mergeCell ref="B23:B24"/>
    <mergeCell ref="A25:A26"/>
    <mergeCell ref="B25:B26"/>
    <mergeCell ref="A19:A20"/>
    <mergeCell ref="B19:B20"/>
    <mergeCell ref="A21:A22"/>
    <mergeCell ref="B21:B22"/>
    <mergeCell ref="A31:A32"/>
    <mergeCell ref="B31:B32"/>
    <mergeCell ref="A33:B34"/>
    <mergeCell ref="D38:E38"/>
    <mergeCell ref="A27:A28"/>
    <mergeCell ref="B27:B28"/>
    <mergeCell ref="A29:A30"/>
    <mergeCell ref="B29:B30"/>
  </mergeCells>
  <pageMargins left="0.25" right="0.25" top="0.75" bottom="0.75" header="0.3" footer="0.3"/>
  <pageSetup paperSize="9" scale="83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tabSelected="1" topLeftCell="I13" workbookViewId="0">
      <selection activeCell="J33" sqref="J33"/>
    </sheetView>
  </sheetViews>
  <sheetFormatPr defaultRowHeight="13.2" x14ac:dyDescent="0.25"/>
  <cols>
    <col min="1" max="8" width="0" hidden="1" customWidth="1"/>
    <col min="12" max="12" width="13" customWidth="1"/>
    <col min="14" max="14" width="11.109375" bestFit="1" customWidth="1"/>
    <col min="15" max="15" width="9.88671875" customWidth="1"/>
    <col min="16" max="16" width="10.44140625" customWidth="1"/>
  </cols>
  <sheetData>
    <row r="1" spans="1:19" ht="15.6" x14ac:dyDescent="0.3">
      <c r="A1" s="57"/>
      <c r="B1" s="57"/>
      <c r="C1" s="57"/>
      <c r="D1" s="57"/>
      <c r="E1" s="58" t="s">
        <v>74</v>
      </c>
      <c r="F1" s="58" t="s">
        <v>75</v>
      </c>
      <c r="G1" s="58" t="s">
        <v>76</v>
      </c>
      <c r="H1" s="57"/>
      <c r="I1" s="57"/>
      <c r="J1" s="57"/>
      <c r="K1" s="57"/>
      <c r="L1" s="57"/>
      <c r="M1" s="57"/>
      <c r="N1" s="59" t="s">
        <v>129</v>
      </c>
      <c r="O1" s="57"/>
      <c r="P1" s="57"/>
      <c r="Q1" s="51"/>
      <c r="R1" s="51"/>
      <c r="S1" s="57"/>
    </row>
    <row r="2" spans="1:19" x14ac:dyDescent="0.25">
      <c r="A2" s="57" t="s">
        <v>77</v>
      </c>
      <c r="B2" s="60" t="s">
        <v>78</v>
      </c>
      <c r="C2" s="57" t="str">
        <f t="shared" ref="C2:C49" si="0">CONCATENATE(A2,"-",B2)</f>
        <v>Construção e Reforma de Edifícios-AC</v>
      </c>
      <c r="D2" s="57"/>
      <c r="E2" s="61">
        <v>0.03</v>
      </c>
      <c r="F2" s="61">
        <v>0.04</v>
      </c>
      <c r="G2" s="61">
        <v>5.5E-2</v>
      </c>
      <c r="H2" s="57"/>
      <c r="I2" s="57"/>
      <c r="J2" s="57"/>
      <c r="K2" s="57"/>
      <c r="L2" s="57"/>
      <c r="M2" s="57"/>
      <c r="N2" s="57"/>
      <c r="O2" s="57"/>
      <c r="P2" s="57"/>
      <c r="Q2" s="51"/>
      <c r="R2" s="51"/>
      <c r="S2" s="57"/>
    </row>
    <row r="3" spans="1:19" x14ac:dyDescent="0.25">
      <c r="A3" s="57" t="str">
        <f>A2</f>
        <v>Construção e Reforma de Edifícios</v>
      </c>
      <c r="B3" s="60" t="s">
        <v>79</v>
      </c>
      <c r="C3" s="57" t="str">
        <f t="shared" si="0"/>
        <v>Construção e Reforma de Edifícios-SG</v>
      </c>
      <c r="D3" s="57"/>
      <c r="E3" s="61">
        <v>8.0000000000000002E-3</v>
      </c>
      <c r="F3" s="61">
        <v>8.0000000000000002E-3</v>
      </c>
      <c r="G3" s="61">
        <v>0.01</v>
      </c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x14ac:dyDescent="0.25">
      <c r="A4" s="57" t="str">
        <f>A3</f>
        <v>Construção e Reforma de Edifícios</v>
      </c>
      <c r="B4" s="60" t="s">
        <v>80</v>
      </c>
      <c r="C4" s="57" t="str">
        <f t="shared" si="0"/>
        <v>Construção e Reforma de Edifícios-R</v>
      </c>
      <c r="D4" s="57"/>
      <c r="E4" s="61">
        <v>9.7000000000000003E-3</v>
      </c>
      <c r="F4" s="61">
        <v>1.2699999999999999E-2</v>
      </c>
      <c r="G4" s="61">
        <v>1.2699999999999999E-2</v>
      </c>
      <c r="H4" s="57"/>
      <c r="I4" s="533" t="s">
        <v>81</v>
      </c>
      <c r="J4" s="535"/>
      <c r="K4" s="533" t="s">
        <v>82</v>
      </c>
      <c r="L4" s="534"/>
      <c r="M4" s="534"/>
      <c r="N4" s="534"/>
      <c r="O4" s="534"/>
      <c r="P4" s="534"/>
      <c r="Q4" s="534"/>
      <c r="R4" s="535"/>
      <c r="S4" s="57"/>
    </row>
    <row r="5" spans="1:19" ht="19.2" x14ac:dyDescent="0.35">
      <c r="A5" s="57" t="str">
        <f>A4</f>
        <v>Construção e Reforma de Edifícios</v>
      </c>
      <c r="B5" s="60" t="s">
        <v>83</v>
      </c>
      <c r="C5" s="57" t="str">
        <f t="shared" si="0"/>
        <v>Construção e Reforma de Edifícios-DF</v>
      </c>
      <c r="D5" s="57"/>
      <c r="E5" s="61">
        <v>5.8999999999999999E-3</v>
      </c>
      <c r="F5" s="61">
        <v>1.23E-2</v>
      </c>
      <c r="G5" s="61">
        <v>1.3899999999999999E-2</v>
      </c>
      <c r="H5" s="57"/>
      <c r="I5" s="543">
        <f>[1]DADOS!A29</f>
        <v>0</v>
      </c>
      <c r="J5" s="544"/>
      <c r="K5" s="545" t="str">
        <f>[1]DADOS!A32</f>
        <v>PREFEITURA MUNICPAL DE PAPAGAIOS</v>
      </c>
      <c r="L5" s="546"/>
      <c r="M5" s="546"/>
      <c r="N5" s="546"/>
      <c r="O5" s="546"/>
      <c r="P5" s="546"/>
      <c r="Q5" s="546"/>
      <c r="R5" s="547"/>
      <c r="S5" s="62"/>
    </row>
    <row r="6" spans="1:19" x14ac:dyDescent="0.25">
      <c r="A6" s="57" t="str">
        <f>A5</f>
        <v>Construção e Reforma de Edifícios</v>
      </c>
      <c r="B6" s="60" t="s">
        <v>84</v>
      </c>
      <c r="C6" s="57" t="str">
        <f t="shared" si="0"/>
        <v>Construção e Reforma de Edifícios-L</v>
      </c>
      <c r="D6" s="57"/>
      <c r="E6" s="61">
        <v>6.1600000000000002E-2</v>
      </c>
      <c r="F6" s="61">
        <v>7.400000000000001E-2</v>
      </c>
      <c r="G6" s="61">
        <v>8.9600000000000013E-2</v>
      </c>
      <c r="H6" s="57"/>
      <c r="I6" s="63"/>
      <c r="J6" s="63"/>
      <c r="K6" s="63"/>
      <c r="L6" s="63"/>
      <c r="M6" s="63"/>
      <c r="N6" s="63"/>
      <c r="O6" s="63"/>
      <c r="P6" s="63"/>
      <c r="Q6" s="63"/>
      <c r="R6" s="63"/>
      <c r="S6" s="57"/>
    </row>
    <row r="7" spans="1:19" x14ac:dyDescent="0.25">
      <c r="A7" s="57" t="str">
        <f>A6</f>
        <v>Construção e Reforma de Edifícios</v>
      </c>
      <c r="B7" s="64" t="s">
        <v>85</v>
      </c>
      <c r="C7" s="57" t="str">
        <f t="shared" si="0"/>
        <v>Construção e Reforma de Edifícios-BDI PAD</v>
      </c>
      <c r="D7" s="57"/>
      <c r="E7" s="61">
        <v>0.2034</v>
      </c>
      <c r="F7" s="61">
        <v>0.22120000000000001</v>
      </c>
      <c r="G7" s="61">
        <v>0.25</v>
      </c>
      <c r="H7" s="57"/>
      <c r="I7" s="533" t="s">
        <v>86</v>
      </c>
      <c r="J7" s="534"/>
      <c r="K7" s="534"/>
      <c r="L7" s="534"/>
      <c r="M7" s="534"/>
      <c r="N7" s="534"/>
      <c r="O7" s="534"/>
      <c r="P7" s="534"/>
      <c r="Q7" s="534"/>
      <c r="R7" s="535"/>
      <c r="S7" s="57"/>
    </row>
    <row r="8" spans="1:19" x14ac:dyDescent="0.25">
      <c r="A8" s="57" t="s">
        <v>87</v>
      </c>
      <c r="B8" s="60" t="s">
        <v>78</v>
      </c>
      <c r="C8" s="57" t="str">
        <f t="shared" si="0"/>
        <v>Construção de Praças Urbanas, Rodovias, Ferrovias e recapeamento e pavimentação de vias urbanas-AC</v>
      </c>
      <c r="D8" s="57"/>
      <c r="E8" s="61">
        <v>3.7999999999999999E-2</v>
      </c>
      <c r="F8" s="61">
        <v>4.0099999999999997E-2</v>
      </c>
      <c r="G8" s="61">
        <v>4.6699999999999998E-2</v>
      </c>
      <c r="H8" s="57"/>
      <c r="I8" s="542" t="str">
        <f>[1]DADOS!P29</f>
        <v xml:space="preserve">PAVIMENTAÇÃO </v>
      </c>
      <c r="J8" s="542"/>
      <c r="K8" s="542"/>
      <c r="L8" s="542"/>
      <c r="M8" s="542"/>
      <c r="N8" s="542"/>
      <c r="O8" s="542"/>
      <c r="P8" s="542"/>
      <c r="Q8" s="542"/>
      <c r="R8" s="542"/>
      <c r="S8" s="57"/>
    </row>
    <row r="9" spans="1:19" x14ac:dyDescent="0.25">
      <c r="A9" s="57" t="s">
        <v>87</v>
      </c>
      <c r="B9" s="60" t="s">
        <v>79</v>
      </c>
      <c r="C9" s="57" t="str">
        <f t="shared" si="0"/>
        <v>Construção de Praças Urbanas, Rodovias, Ferrovias e recapeamento e pavimentação de vias urbanas-SG</v>
      </c>
      <c r="D9" s="57"/>
      <c r="E9" s="61">
        <v>3.2000000000000002E-3</v>
      </c>
      <c r="F9" s="61">
        <v>4.0000000000000001E-3</v>
      </c>
      <c r="G9" s="61">
        <v>7.4000000000000003E-3</v>
      </c>
      <c r="H9" s="57"/>
      <c r="I9" s="63"/>
      <c r="J9" s="63"/>
      <c r="K9" s="63"/>
      <c r="L9" s="63"/>
      <c r="M9" s="63"/>
      <c r="N9" s="63"/>
      <c r="O9" s="63"/>
      <c r="P9" s="63"/>
      <c r="Q9" s="63"/>
      <c r="R9" s="63"/>
      <c r="S9" s="57"/>
    </row>
    <row r="10" spans="1:19" x14ac:dyDescent="0.25">
      <c r="A10" s="57" t="s">
        <v>87</v>
      </c>
      <c r="B10" s="60" t="s">
        <v>80</v>
      </c>
      <c r="C10" s="57" t="str">
        <f t="shared" si="0"/>
        <v>Construção de Praças Urbanas, Rodovias, Ferrovias e recapeamento e pavimentação de vias urbanas-R</v>
      </c>
      <c r="D10" s="57"/>
      <c r="E10" s="61">
        <v>5.0000000000000001E-3</v>
      </c>
      <c r="F10" s="61">
        <v>5.6000000000000008E-3</v>
      </c>
      <c r="G10" s="61">
        <v>9.7000000000000003E-3</v>
      </c>
      <c r="H10" s="57"/>
      <c r="I10" s="533" t="s">
        <v>88</v>
      </c>
      <c r="J10" s="534"/>
      <c r="K10" s="534"/>
      <c r="L10" s="534"/>
      <c r="M10" s="534"/>
      <c r="N10" s="534"/>
      <c r="O10" s="534"/>
      <c r="P10" s="534"/>
      <c r="Q10" s="533" t="s">
        <v>89</v>
      </c>
      <c r="R10" s="535"/>
      <c r="S10" s="57"/>
    </row>
    <row r="11" spans="1:19" x14ac:dyDescent="0.25">
      <c r="A11" s="57" t="s">
        <v>87</v>
      </c>
      <c r="B11" s="60" t="s">
        <v>83</v>
      </c>
      <c r="C11" s="57" t="str">
        <f t="shared" si="0"/>
        <v>Construção de Praças Urbanas, Rodovias, Ferrovias e recapeamento e pavimentação de vias urbanas-DF</v>
      </c>
      <c r="D11" s="57"/>
      <c r="E11" s="61">
        <v>1.0200000000000001E-2</v>
      </c>
      <c r="F11" s="61">
        <v>1.11E-2</v>
      </c>
      <c r="G11" s="61">
        <v>1.21E-2</v>
      </c>
      <c r="H11" s="57"/>
      <c r="I11" s="536" t="s">
        <v>87</v>
      </c>
      <c r="J11" s="537"/>
      <c r="K11" s="537"/>
      <c r="L11" s="537"/>
      <c r="M11" s="537"/>
      <c r="N11" s="537"/>
      <c r="O11" s="537"/>
      <c r="P11" s="538"/>
      <c r="Q11" s="539" t="s">
        <v>182</v>
      </c>
      <c r="R11" s="540"/>
      <c r="S11" s="57"/>
    </row>
    <row r="12" spans="1:19" x14ac:dyDescent="0.25">
      <c r="A12" s="57" t="s">
        <v>87</v>
      </c>
      <c r="B12" s="60" t="s">
        <v>84</v>
      </c>
      <c r="C12" s="57" t="str">
        <f t="shared" si="0"/>
        <v>Construção de Praças Urbanas, Rodovias, Ferrovias e recapeamento e pavimentação de vias urbanas-L</v>
      </c>
      <c r="D12" s="57"/>
      <c r="E12" s="61">
        <v>6.6400000000000001E-2</v>
      </c>
      <c r="F12" s="61">
        <v>7.2999999999999995E-2</v>
      </c>
      <c r="G12" s="61">
        <v>8.6899999999999991E-2</v>
      </c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</row>
    <row r="13" spans="1:19" ht="24" customHeight="1" x14ac:dyDescent="0.25">
      <c r="A13" s="57" t="s">
        <v>87</v>
      </c>
      <c r="B13" s="64" t="s">
        <v>85</v>
      </c>
      <c r="C13" s="57" t="str">
        <f t="shared" si="0"/>
        <v>Construção de Praças Urbanas, Rodovias, Ferrovias e recapeamento e pavimentação de vias urbanas-BDI PAD</v>
      </c>
      <c r="D13" s="57"/>
      <c r="E13" s="61">
        <v>0.19600000000000001</v>
      </c>
      <c r="F13" s="61">
        <v>0.2097</v>
      </c>
      <c r="G13" s="61">
        <v>0.24230000000000002</v>
      </c>
      <c r="H13" s="57"/>
      <c r="I13" s="541" t="s">
        <v>90</v>
      </c>
      <c r="J13" s="541"/>
      <c r="K13" s="541"/>
      <c r="L13" s="541"/>
      <c r="M13" s="541"/>
      <c r="N13" s="541"/>
      <c r="O13" s="541"/>
      <c r="P13" s="541"/>
      <c r="Q13" s="528">
        <v>1</v>
      </c>
      <c r="R13" s="528"/>
      <c r="S13" s="57"/>
    </row>
    <row r="14" spans="1:19" x14ac:dyDescent="0.25">
      <c r="A14" s="57" t="s">
        <v>91</v>
      </c>
      <c r="B14" s="60" t="s">
        <v>78</v>
      </c>
      <c r="C14" s="57" t="str">
        <f t="shared" si="0"/>
        <v>Construção de Redes de Abastecimento de Água, Coleta de Esgoto-AC</v>
      </c>
      <c r="D14" s="57"/>
      <c r="E14" s="61">
        <v>3.4300000000000004E-2</v>
      </c>
      <c r="F14" s="61">
        <v>4.9299999999999997E-2</v>
      </c>
      <c r="G14" s="61">
        <v>6.7099999999999993E-2</v>
      </c>
      <c r="H14" s="57"/>
      <c r="I14" s="527" t="s">
        <v>92</v>
      </c>
      <c r="J14" s="527"/>
      <c r="K14" s="527"/>
      <c r="L14" s="527"/>
      <c r="M14" s="527"/>
      <c r="N14" s="527"/>
      <c r="O14" s="527"/>
      <c r="P14" s="527"/>
      <c r="Q14" s="528">
        <v>0.02</v>
      </c>
      <c r="R14" s="528"/>
      <c r="S14" s="57"/>
    </row>
    <row r="15" spans="1:19" x14ac:dyDescent="0.25">
      <c r="A15" s="57" t="str">
        <f>A14</f>
        <v>Construção de Redes de Abastecimento de Água, Coleta de Esgoto</v>
      </c>
      <c r="B15" s="60" t="s">
        <v>79</v>
      </c>
      <c r="C15" s="57" t="str">
        <f t="shared" si="0"/>
        <v>Construção de Redes de Abastecimento de Água, Coleta de Esgoto-SG</v>
      </c>
      <c r="D15" s="57"/>
      <c r="E15" s="61">
        <v>2.8000000000000004E-3</v>
      </c>
      <c r="F15" s="61">
        <v>4.8999999999999998E-3</v>
      </c>
      <c r="G15" s="61">
        <v>7.4999999999999997E-3</v>
      </c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</row>
    <row r="16" spans="1:19" x14ac:dyDescent="0.25">
      <c r="A16" s="57"/>
      <c r="B16" s="60"/>
      <c r="C16" s="57"/>
      <c r="D16" s="57"/>
      <c r="E16" s="61"/>
      <c r="F16" s="61"/>
      <c r="G16" s="61"/>
      <c r="H16" s="57"/>
      <c r="I16" s="529" t="s">
        <v>93</v>
      </c>
      <c r="J16" s="529"/>
      <c r="K16" s="529"/>
      <c r="L16" s="529"/>
      <c r="M16" s="529" t="s">
        <v>94</v>
      </c>
      <c r="N16" s="530" t="s">
        <v>95</v>
      </c>
      <c r="O16" s="530" t="s">
        <v>96</v>
      </c>
      <c r="P16" s="531" t="s">
        <v>97</v>
      </c>
      <c r="Q16" s="531" t="s">
        <v>98</v>
      </c>
      <c r="R16" s="532" t="s">
        <v>99</v>
      </c>
      <c r="S16" s="57"/>
    </row>
    <row r="17" spans="1:19" x14ac:dyDescent="0.25">
      <c r="A17" s="57" t="str">
        <f>A15</f>
        <v>Construção de Redes de Abastecimento de Água, Coleta de Esgoto</v>
      </c>
      <c r="B17" s="60" t="s">
        <v>80</v>
      </c>
      <c r="C17" s="57" t="str">
        <f t="shared" si="0"/>
        <v>Construção de Redes de Abastecimento de Água, Coleta de Esgoto-R</v>
      </c>
      <c r="D17" s="57"/>
      <c r="E17" s="61">
        <v>0.01</v>
      </c>
      <c r="F17" s="61">
        <v>1.3899999999999999E-2</v>
      </c>
      <c r="G17" s="61">
        <v>1.7399999999999999E-2</v>
      </c>
      <c r="H17" s="57"/>
      <c r="I17" s="529"/>
      <c r="J17" s="529"/>
      <c r="K17" s="529"/>
      <c r="L17" s="529"/>
      <c r="M17" s="529"/>
      <c r="N17" s="530"/>
      <c r="O17" s="530"/>
      <c r="P17" s="531"/>
      <c r="Q17" s="531"/>
      <c r="R17" s="532"/>
      <c r="S17" s="57"/>
    </row>
    <row r="18" spans="1:19" ht="13.8" x14ac:dyDescent="0.25">
      <c r="A18" s="57" t="str">
        <f>A17</f>
        <v>Construção de Redes de Abastecimento de Água, Coleta de Esgoto</v>
      </c>
      <c r="B18" s="60" t="s">
        <v>83</v>
      </c>
      <c r="C18" s="57" t="str">
        <f t="shared" si="0"/>
        <v>Construção de Redes de Abastecimento de Água, Coleta de Esgoto-DF</v>
      </c>
      <c r="D18" s="57"/>
      <c r="E18" s="61">
        <v>9.3999999999999986E-3</v>
      </c>
      <c r="F18" s="61">
        <v>9.8999999999999991E-3</v>
      </c>
      <c r="G18" s="61">
        <v>1.1699999999999999E-2</v>
      </c>
      <c r="H18" s="57"/>
      <c r="I18" s="523" t="str">
        <f>IF($I$11=$A$59,"Encargos Sociais incidentes sobre a mão de obra","Administração Central")</f>
        <v>Administração Central</v>
      </c>
      <c r="J18" s="523"/>
      <c r="K18" s="523"/>
      <c r="L18" s="523"/>
      <c r="M18" s="65" t="str">
        <f>IF($I$11=$A$59,"K1","AC")</f>
        <v>AC</v>
      </c>
      <c r="N18" s="66">
        <v>4.6699999999999998E-2</v>
      </c>
      <c r="O18" s="67" t="s">
        <v>100</v>
      </c>
      <c r="P18" s="68">
        <f>VLOOKUP(CONCATENATE(I$11,"-",M18),$C$2:$G$49,3,FALSE)</f>
        <v>3.7999999999999999E-2</v>
      </c>
      <c r="Q18" s="68">
        <f>VLOOKUP(CONCATENATE(I$11,"-",M18),$C$2:$G$49,4,FALSE)</f>
        <v>4.0099999999999997E-2</v>
      </c>
      <c r="R18" s="68">
        <f>VLOOKUP(CONCATENATE(I$11,"-",M18),$C$2:$G$49,5,FALSE)</f>
        <v>4.6699999999999998E-2</v>
      </c>
      <c r="S18" s="57"/>
    </row>
    <row r="19" spans="1:19" ht="13.8" x14ac:dyDescent="0.25">
      <c r="A19" s="57" t="str">
        <f>A18</f>
        <v>Construção de Redes de Abastecimento de Água, Coleta de Esgoto</v>
      </c>
      <c r="B19" s="60" t="s">
        <v>84</v>
      </c>
      <c r="C19" s="57" t="str">
        <f t="shared" si="0"/>
        <v>Construção de Redes de Abastecimento de Água, Coleta de Esgoto-L</v>
      </c>
      <c r="D19" s="57"/>
      <c r="E19" s="61">
        <v>6.7400000000000002E-2</v>
      </c>
      <c r="F19" s="61">
        <v>8.0399999999999985E-2</v>
      </c>
      <c r="G19" s="61">
        <v>9.4E-2</v>
      </c>
      <c r="H19" s="57"/>
      <c r="I19" s="523" t="str">
        <f>IF($I$11=$A$59,"Administração Central da empresa ou consultoria - overhead","Seguro e Garantia")</f>
        <v>Seguro e Garantia</v>
      </c>
      <c r="J19" s="523"/>
      <c r="K19" s="523"/>
      <c r="L19" s="523"/>
      <c r="M19" s="65" t="str">
        <f>IF($I$11=$A$59,"K2","SG")</f>
        <v>SG</v>
      </c>
      <c r="N19" s="66">
        <v>4.0000000000000001E-3</v>
      </c>
      <c r="O19" s="67" t="s">
        <v>100</v>
      </c>
      <c r="P19" s="68">
        <f>VLOOKUP(CONCATENATE(I$11,"-",M19),$C$2:$G$49,3,FALSE)</f>
        <v>3.2000000000000002E-3</v>
      </c>
      <c r="Q19" s="68">
        <f>VLOOKUP(CONCATENATE(I$11,"-",M19),$C$2:$G$49,4,FALSE)</f>
        <v>4.0000000000000001E-3</v>
      </c>
      <c r="R19" s="68">
        <f>VLOOKUP(CONCATENATE(I$11,"-",M19),$C$2:$G$49,5,FALSE)</f>
        <v>7.4000000000000003E-3</v>
      </c>
      <c r="S19" s="57"/>
    </row>
    <row r="20" spans="1:19" ht="13.8" x14ac:dyDescent="0.25">
      <c r="A20" s="57" t="str">
        <f>A19</f>
        <v>Construção de Redes de Abastecimento de Água, Coleta de Esgoto</v>
      </c>
      <c r="B20" s="64" t="s">
        <v>85</v>
      </c>
      <c r="C20" s="57" t="str">
        <f t="shared" si="0"/>
        <v>Construção de Redes de Abastecimento de Água, Coleta de Esgoto-BDI PAD</v>
      </c>
      <c r="D20" s="57"/>
      <c r="E20" s="61">
        <v>0.20760000000000001</v>
      </c>
      <c r="F20" s="61">
        <v>0.24179999999999999</v>
      </c>
      <c r="G20" s="61">
        <v>0.26440000000000002</v>
      </c>
      <c r="H20" s="57"/>
      <c r="I20" s="523" t="str">
        <f>IF($I$11=$A$59,"","Risco")</f>
        <v>Risco</v>
      </c>
      <c r="J20" s="523"/>
      <c r="K20" s="523"/>
      <c r="L20" s="523"/>
      <c r="M20" s="65" t="str">
        <f>IF($I$11=$A$59,"","R")</f>
        <v>R</v>
      </c>
      <c r="N20" s="66">
        <v>9.7000000000000003E-3</v>
      </c>
      <c r="O20" s="67" t="s">
        <v>100</v>
      </c>
      <c r="P20" s="68">
        <f>VLOOKUP(CONCATENATE(I$11,"-",M20),$C$2:$G$49,3,FALSE)</f>
        <v>5.0000000000000001E-3</v>
      </c>
      <c r="Q20" s="68">
        <f>VLOOKUP(CONCATENATE(I$11,"-",M20),$C$2:$G$49,4,FALSE)</f>
        <v>5.6000000000000008E-3</v>
      </c>
      <c r="R20" s="68">
        <f>VLOOKUP(CONCATENATE(I$11,"-",M20),$C$2:$G$49,5,FALSE)</f>
        <v>9.7000000000000003E-3</v>
      </c>
      <c r="S20" s="57"/>
    </row>
    <row r="21" spans="1:19" ht="13.8" x14ac:dyDescent="0.25">
      <c r="A21" s="57" t="s">
        <v>101</v>
      </c>
      <c r="B21" s="60" t="s">
        <v>78</v>
      </c>
      <c r="C21" s="57" t="str">
        <f t="shared" si="0"/>
        <v>Construção e Manutenção de Estações e Redes de Distribuição de Energia Elétrica-AC</v>
      </c>
      <c r="D21" s="57"/>
      <c r="E21" s="61">
        <v>5.2900000000000003E-2</v>
      </c>
      <c r="F21" s="61">
        <v>5.9200000000000003E-2</v>
      </c>
      <c r="G21" s="61">
        <v>7.9299999999999995E-2</v>
      </c>
      <c r="H21" s="57"/>
      <c r="I21" s="523" t="str">
        <f>IF($I$11=$A$59,"","Despesas Financeiras")</f>
        <v>Despesas Financeiras</v>
      </c>
      <c r="J21" s="523"/>
      <c r="K21" s="523"/>
      <c r="L21" s="523"/>
      <c r="M21" s="65" t="str">
        <f>IF($I$11=$A$59,"","DF")</f>
        <v>DF</v>
      </c>
      <c r="N21" s="66">
        <v>1.21E-2</v>
      </c>
      <c r="O21" s="67" t="s">
        <v>100</v>
      </c>
      <c r="P21" s="68">
        <f>VLOOKUP(CONCATENATE(I$11,"-",M21),$C$2:$G$49,3,FALSE)</f>
        <v>1.0200000000000001E-2</v>
      </c>
      <c r="Q21" s="68">
        <f>VLOOKUP(CONCATENATE(I$11,"-",M21),$C$2:$G$49,4,FALSE)</f>
        <v>1.11E-2</v>
      </c>
      <c r="R21" s="68">
        <f>VLOOKUP(CONCATENATE(I$11,"-",M21),$C$2:$G$49,5,FALSE)</f>
        <v>1.21E-2</v>
      </c>
      <c r="S21" s="57"/>
    </row>
    <row r="22" spans="1:19" ht="13.8" x14ac:dyDescent="0.25">
      <c r="A22" s="57" t="str">
        <f>A21</f>
        <v>Construção e Manutenção de Estações e Redes de Distribuição de Energia Elétrica</v>
      </c>
      <c r="B22" s="60" t="s">
        <v>79</v>
      </c>
      <c r="C22" s="57" t="str">
        <f t="shared" si="0"/>
        <v>Construção e Manutenção de Estações e Redes de Distribuição de Energia Elétrica-SG</v>
      </c>
      <c r="D22" s="57"/>
      <c r="E22" s="61">
        <v>2.5000000000000001E-3</v>
      </c>
      <c r="F22" s="61">
        <v>5.1000000000000004E-3</v>
      </c>
      <c r="G22" s="61">
        <v>5.6000000000000008E-3</v>
      </c>
      <c r="H22" s="57"/>
      <c r="I22" s="523" t="str">
        <f>IF($I$11=$A$59,"Margem bruta da empresa de consultoria","Lucro")</f>
        <v>Lucro</v>
      </c>
      <c r="J22" s="523"/>
      <c r="K22" s="523"/>
      <c r="L22" s="523"/>
      <c r="M22" s="65" t="str">
        <f>IF($I$11=$A$59,"K3","L")</f>
        <v>L</v>
      </c>
      <c r="N22" s="66">
        <v>8.6900000000000005E-2</v>
      </c>
      <c r="O22" s="67" t="s">
        <v>100</v>
      </c>
      <c r="P22" s="68">
        <f>VLOOKUP(CONCATENATE(I$11,"-",M22),$C$2:$G$49,3,FALSE)</f>
        <v>6.6400000000000001E-2</v>
      </c>
      <c r="Q22" s="68">
        <f>VLOOKUP(CONCATENATE(I$11,"-",M22),$C$2:$G$49,4,FALSE)</f>
        <v>7.2999999999999995E-2</v>
      </c>
      <c r="R22" s="68">
        <f>VLOOKUP(CONCATENATE(I$11,"-",M22),$C$2:$G$49,5,FALSE)</f>
        <v>8.6899999999999991E-2</v>
      </c>
      <c r="S22" s="57"/>
    </row>
    <row r="23" spans="1:19" ht="13.8" x14ac:dyDescent="0.25">
      <c r="A23" s="57" t="str">
        <f>A22</f>
        <v>Construção e Manutenção de Estações e Redes de Distribuição de Energia Elétrica</v>
      </c>
      <c r="B23" s="60" t="s">
        <v>80</v>
      </c>
      <c r="C23" s="57" t="str">
        <f t="shared" si="0"/>
        <v>Construção e Manutenção de Estações e Redes de Distribuição de Energia Elétrica-R</v>
      </c>
      <c r="D23" s="57"/>
      <c r="E23" s="61">
        <v>0.01</v>
      </c>
      <c r="F23" s="61">
        <v>1.4800000000000001E-2</v>
      </c>
      <c r="G23" s="61">
        <v>1.9699999999999999E-2</v>
      </c>
      <c r="H23" s="57"/>
      <c r="I23" s="524" t="s">
        <v>102</v>
      </c>
      <c r="J23" s="524"/>
      <c r="K23" s="524"/>
      <c r="L23" s="524"/>
      <c r="M23" s="65" t="s">
        <v>103</v>
      </c>
      <c r="N23" s="66">
        <v>3.6499999999999998E-2</v>
      </c>
      <c r="O23" s="67" t="s">
        <v>100</v>
      </c>
      <c r="P23" s="68">
        <v>3.6499999999999998E-2</v>
      </c>
      <c r="Q23" s="68">
        <v>3.6499999999999998E-2</v>
      </c>
      <c r="R23" s="68">
        <v>3.6499999999999998E-2</v>
      </c>
      <c r="S23" s="57"/>
    </row>
    <row r="24" spans="1:19" ht="31.5" customHeight="1" x14ac:dyDescent="0.25">
      <c r="A24" s="57" t="str">
        <f>A23</f>
        <v>Construção e Manutenção de Estações e Redes de Distribuição de Energia Elétrica</v>
      </c>
      <c r="B24" s="60" t="s">
        <v>83</v>
      </c>
      <c r="C24" s="57" t="str">
        <f t="shared" si="0"/>
        <v>Construção e Manutenção de Estações e Redes de Distribuição de Energia Elétrica-DF</v>
      </c>
      <c r="D24" s="57"/>
      <c r="E24" s="61">
        <v>1.01E-2</v>
      </c>
      <c r="F24" s="61">
        <v>1.0700000000000001E-2</v>
      </c>
      <c r="G24" s="61">
        <v>1.11E-2</v>
      </c>
      <c r="H24" s="57"/>
      <c r="I24" s="523" t="s">
        <v>104</v>
      </c>
      <c r="J24" s="523"/>
      <c r="K24" s="523"/>
      <c r="L24" s="523"/>
      <c r="M24" s="65" t="s">
        <v>105</v>
      </c>
      <c r="N24" s="68">
        <f>IF($I$11&lt;&gt;$A$58,Q14*Q13,0)</f>
        <v>0.02</v>
      </c>
      <c r="O24" s="67" t="s">
        <v>100</v>
      </c>
      <c r="P24" s="68">
        <v>0</v>
      </c>
      <c r="Q24" s="68">
        <v>2.5000000000000001E-2</v>
      </c>
      <c r="R24" s="68">
        <v>0.05</v>
      </c>
      <c r="S24" s="57"/>
    </row>
    <row r="25" spans="1:19" ht="26.25" customHeight="1" x14ac:dyDescent="0.25">
      <c r="A25" s="57" t="str">
        <f>A24</f>
        <v>Construção e Manutenção de Estações e Redes de Distribuição de Energia Elétrica</v>
      </c>
      <c r="B25" s="60" t="s">
        <v>84</v>
      </c>
      <c r="C25" s="57" t="str">
        <f t="shared" si="0"/>
        <v>Construção e Manutenção de Estações e Redes de Distribuição de Energia Elétrica-L</v>
      </c>
      <c r="D25" s="57"/>
      <c r="E25" s="61">
        <v>0.08</v>
      </c>
      <c r="F25" s="61">
        <v>8.3100000000000007E-2</v>
      </c>
      <c r="G25" s="61">
        <v>9.5100000000000004E-2</v>
      </c>
      <c r="H25" s="57"/>
      <c r="I25" s="523" t="s">
        <v>106</v>
      </c>
      <c r="J25" s="523"/>
      <c r="K25" s="523"/>
      <c r="L25" s="523"/>
      <c r="M25" s="65" t="s">
        <v>107</v>
      </c>
      <c r="N25" s="68">
        <v>0</v>
      </c>
      <c r="O25" s="67" t="str">
        <f>IF(AND(N25&gt;=P25, N25&lt;=R25), "OK", "Não OK")</f>
        <v>OK</v>
      </c>
      <c r="P25" s="69">
        <v>0</v>
      </c>
      <c r="Q25" s="69">
        <v>4.4999999999999998E-2</v>
      </c>
      <c r="R25" s="69">
        <v>4.4999999999999998E-2</v>
      </c>
      <c r="S25" s="57"/>
    </row>
    <row r="26" spans="1:19" ht="27.6" x14ac:dyDescent="0.25">
      <c r="A26" s="57" t="str">
        <f>A25</f>
        <v>Construção e Manutenção de Estações e Redes de Distribuição de Energia Elétrica</v>
      </c>
      <c r="B26" s="64" t="s">
        <v>85</v>
      </c>
      <c r="C26" s="57" t="str">
        <f t="shared" si="0"/>
        <v>Construção e Manutenção de Estações e Redes de Distribuição de Energia Elétrica-BDI PAD</v>
      </c>
      <c r="D26" s="57"/>
      <c r="E26" s="61">
        <v>0.24</v>
      </c>
      <c r="F26" s="61">
        <v>0.25840000000000002</v>
      </c>
      <c r="G26" s="61">
        <v>0.27860000000000001</v>
      </c>
      <c r="H26" s="57"/>
      <c r="I26" s="523" t="s">
        <v>108</v>
      </c>
      <c r="J26" s="523"/>
      <c r="K26" s="523"/>
      <c r="L26" s="523"/>
      <c r="M26" s="70" t="s">
        <v>85</v>
      </c>
      <c r="N26" s="68">
        <f>IF($I$11=$A$58,0,ROUND((((1+N18+N19+N20)*(1+N21)*(1+N22)/(1-(N23+N24)))-1),4))</f>
        <v>0.23630000000000001</v>
      </c>
      <c r="O26" s="71" t="str">
        <f>IF(OR($I$11=$A$59,$I$11=$A$58,AND(N26&gt;=P26, N26&lt;=R26)), "OK", "FORA DO INTERVALO")</f>
        <v>OK</v>
      </c>
      <c r="P26" s="68">
        <f>IF($I$11=$A$58,0,VLOOKUP(CONCATENATE($I$11,"-",$M26),$C$2:$G$49,3,FALSE))</f>
        <v>0.19600000000000001</v>
      </c>
      <c r="Q26" s="68">
        <f>IF($I$11=$A$58,0,VLOOKUP(CONCATENATE($I$11,"-",$M26),$C$2:$G$49,4,FALSE))</f>
        <v>0.2097</v>
      </c>
      <c r="R26" s="68">
        <f>IF($I$11=$A$58,0,VLOOKUP(CONCATENATE($I$11,"-",$M26),$C$2:$G$49,5,FALSE))</f>
        <v>0.24230000000000002</v>
      </c>
      <c r="S26" s="57"/>
    </row>
    <row r="27" spans="1:19" ht="13.8" x14ac:dyDescent="0.25">
      <c r="A27" s="57" t="s">
        <v>109</v>
      </c>
      <c r="B27" s="60" t="s">
        <v>78</v>
      </c>
      <c r="C27" s="57" t="str">
        <f t="shared" si="0"/>
        <v>Obras Portuárias, Marítimas e Fluviais-AC</v>
      </c>
      <c r="D27" s="57"/>
      <c r="E27" s="61">
        <v>0.04</v>
      </c>
      <c r="F27" s="61">
        <v>5.5199999999999999E-2</v>
      </c>
      <c r="G27" s="61">
        <v>7.85E-2</v>
      </c>
      <c r="H27" s="57"/>
      <c r="I27" s="525" t="s">
        <v>110</v>
      </c>
      <c r="J27" s="525"/>
      <c r="K27" s="525"/>
      <c r="L27" s="525"/>
      <c r="M27" s="72" t="s">
        <v>111</v>
      </c>
      <c r="N27" s="73">
        <f>IF($I$11=$A$58,0,ROUND((((1+N18+N19+N20)*(1+N21)*(1+N22)/(1-(N23+N24+N25)))-1),4))</f>
        <v>0.23630000000000001</v>
      </c>
      <c r="O27" s="74" t="str">
        <f>IF(Q11&lt;&gt;"Sim","",O26)</f>
        <v/>
      </c>
      <c r="P27" s="526"/>
      <c r="Q27" s="526"/>
      <c r="R27" s="526"/>
      <c r="S27" s="57"/>
    </row>
    <row r="28" spans="1:19" x14ac:dyDescent="0.25">
      <c r="A28" s="57" t="str">
        <f>A27</f>
        <v>Obras Portuárias, Marítimas e Fluviais</v>
      </c>
      <c r="B28" s="60" t="s">
        <v>79</v>
      </c>
      <c r="C28" s="57" t="str">
        <f t="shared" si="0"/>
        <v>Obras Portuárias, Marítimas e Fluviais-SG</v>
      </c>
      <c r="D28" s="57"/>
      <c r="E28" s="61">
        <v>8.1000000000000013E-3</v>
      </c>
      <c r="F28" s="61">
        <v>1.2199999999999999E-2</v>
      </c>
      <c r="G28" s="61">
        <v>1.9900000000000001E-2</v>
      </c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</row>
    <row r="29" spans="1:19" ht="22.8" x14ac:dyDescent="0.25">
      <c r="A29" s="57" t="str">
        <f>A28</f>
        <v>Obras Portuárias, Marítimas e Fluviais</v>
      </c>
      <c r="B29" s="60" t="s">
        <v>80</v>
      </c>
      <c r="C29" s="57" t="str">
        <f t="shared" si="0"/>
        <v>Obras Portuárias, Marítimas e Fluviais-R</v>
      </c>
      <c r="D29" s="57"/>
      <c r="E29" s="61">
        <v>1.46E-2</v>
      </c>
      <c r="F29" s="61">
        <v>2.3199999999999998E-2</v>
      </c>
      <c r="G29" s="61">
        <v>3.1600000000000003E-2</v>
      </c>
      <c r="H29" s="57"/>
      <c r="I29" s="75" t="str">
        <f>IF(V29,"X","")</f>
        <v/>
      </c>
      <c r="J29" s="522" t="s">
        <v>112</v>
      </c>
      <c r="K29" s="522"/>
      <c r="L29" s="522"/>
      <c r="M29" s="522"/>
      <c r="N29" s="522"/>
      <c r="O29" s="522"/>
      <c r="P29" s="522"/>
      <c r="Q29" s="522"/>
      <c r="R29" s="522"/>
      <c r="S29" s="57"/>
    </row>
    <row r="30" spans="1:19" x14ac:dyDescent="0.25">
      <c r="A30" s="57"/>
      <c r="B30" s="60"/>
      <c r="C30" s="57"/>
      <c r="D30" s="57"/>
      <c r="E30" s="61"/>
      <c r="F30" s="61"/>
      <c r="G30" s="61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</row>
    <row r="31" spans="1:19" x14ac:dyDescent="0.25">
      <c r="A31" s="57"/>
      <c r="B31" s="60"/>
      <c r="C31" s="57"/>
      <c r="D31" s="57"/>
      <c r="E31" s="61"/>
      <c r="F31" s="61"/>
      <c r="G31" s="61"/>
      <c r="H31" s="57"/>
      <c r="I31" s="509" t="s">
        <v>113</v>
      </c>
      <c r="J31" s="509"/>
      <c r="K31" s="509"/>
      <c r="L31" s="509"/>
      <c r="M31" s="509"/>
      <c r="N31" s="509"/>
      <c r="O31" s="509"/>
      <c r="P31" s="509"/>
      <c r="Q31" s="509"/>
      <c r="R31" s="509"/>
      <c r="S31" s="57"/>
    </row>
    <row r="32" spans="1:19" ht="15.6" x14ac:dyDescent="0.3">
      <c r="A32" s="57" t="str">
        <f>A29</f>
        <v>Obras Portuárias, Marítimas e Fluviais</v>
      </c>
      <c r="B32" s="60" t="s">
        <v>83</v>
      </c>
      <c r="C32" s="57" t="str">
        <f t="shared" si="0"/>
        <v>Obras Portuárias, Marítimas e Fluviais-DF</v>
      </c>
      <c r="D32" s="57"/>
      <c r="E32" s="61">
        <v>9.3999999999999986E-3</v>
      </c>
      <c r="F32" s="61">
        <v>1.0200000000000001E-2</v>
      </c>
      <c r="G32" s="61">
        <v>1.3300000000000001E-2</v>
      </c>
      <c r="H32" s="57"/>
      <c r="I32" s="76"/>
      <c r="J32" s="76"/>
      <c r="K32" s="76"/>
      <c r="L32" s="510" t="str">
        <f>IF(Q11="Sim","BDI.DES =","BDI.PAD =")</f>
        <v>BDI.PAD =</v>
      </c>
      <c r="M32" s="511" t="str">
        <f>IF($I$11=$A$59,"(1+K1+K2)*(1+K3)","(1+AC + S + R + G)*(1 + DF)*(1+L)")</f>
        <v>(1+AC + S + R + G)*(1 + DF)*(1+L)</v>
      </c>
      <c r="N32" s="511"/>
      <c r="O32" s="511"/>
      <c r="P32" s="512" t="s">
        <v>114</v>
      </c>
      <c r="Q32" s="76"/>
      <c r="R32" s="76"/>
      <c r="S32" s="57"/>
    </row>
    <row r="33" spans="1:19" ht="15.6" x14ac:dyDescent="0.25">
      <c r="A33" s="57" t="str">
        <f>A32</f>
        <v>Obras Portuárias, Marítimas e Fluviais</v>
      </c>
      <c r="B33" s="60" t="s">
        <v>84</v>
      </c>
      <c r="C33" s="57" t="str">
        <f t="shared" si="0"/>
        <v>Obras Portuárias, Marítimas e Fluviais-L</v>
      </c>
      <c r="D33" s="57"/>
      <c r="E33" s="61">
        <v>7.1399999999999991E-2</v>
      </c>
      <c r="F33" s="61">
        <v>8.4000000000000005E-2</v>
      </c>
      <c r="G33" s="61">
        <v>0.1043</v>
      </c>
      <c r="H33" s="57"/>
      <c r="I33" s="76"/>
      <c r="J33" s="76"/>
      <c r="K33" s="76"/>
      <c r="L33" s="510"/>
      <c r="M33" s="514" t="str">
        <f>IF(Q11="Sim","(1-CP-ISS-CRPB)","(1-CP-ISS)")</f>
        <v>(1-CP-ISS)</v>
      </c>
      <c r="N33" s="514"/>
      <c r="O33" s="514"/>
      <c r="P33" s="513"/>
      <c r="Q33" s="76"/>
      <c r="R33" s="76"/>
      <c r="S33" s="57"/>
    </row>
    <row r="34" spans="1:19" x14ac:dyDescent="0.25">
      <c r="A34" s="57" t="str">
        <f>A33</f>
        <v>Obras Portuárias, Marítimas e Fluviais</v>
      </c>
      <c r="B34" s="64" t="s">
        <v>85</v>
      </c>
      <c r="C34" s="57" t="str">
        <f t="shared" si="0"/>
        <v>Obras Portuárias, Marítimas e Fluviais-BDI PAD</v>
      </c>
      <c r="D34" s="57"/>
      <c r="E34" s="61">
        <v>0.22800000000000001</v>
      </c>
      <c r="F34" s="61">
        <v>0.27479999999999999</v>
      </c>
      <c r="G34" s="61">
        <v>0.3095</v>
      </c>
      <c r="H34" s="5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57"/>
    </row>
    <row r="35" spans="1:19" ht="49.5" customHeight="1" x14ac:dyDescent="0.25">
      <c r="A35" s="57"/>
      <c r="B35" s="64"/>
      <c r="C35" s="57"/>
      <c r="D35" s="57"/>
      <c r="E35" s="61"/>
      <c r="F35" s="61"/>
      <c r="G35" s="61"/>
      <c r="H35" s="57"/>
      <c r="I35" s="515" t="str">
        <f>CONCATENATE("Declaro para os devidos fins que, conforme legislação tributária municipal, a base de cálculo para ",I11,", é de ",Q13*100,"%, com a respectiva alíquota de ",Q14*100,"%.")</f>
        <v>Declaro para os devidos fins que, conforme legislação tributária municipal, a base de cálculo para Construção de Praças Urbanas, Rodovias, Ferrovias e recapeamento e pavimentação de vias urbanas, é de 100%, com a respectiva alíquota de 2%.</v>
      </c>
      <c r="J35" s="515"/>
      <c r="K35" s="515"/>
      <c r="L35" s="515"/>
      <c r="M35" s="515"/>
      <c r="N35" s="515"/>
      <c r="O35" s="515"/>
      <c r="P35" s="515"/>
      <c r="Q35" s="515"/>
      <c r="R35" s="515"/>
      <c r="S35" s="57"/>
    </row>
    <row r="36" spans="1:19" x14ac:dyDescent="0.25">
      <c r="A36" s="57"/>
      <c r="B36" s="64"/>
      <c r="C36" s="57"/>
      <c r="D36" s="57"/>
      <c r="E36" s="61"/>
      <c r="F36" s="61"/>
      <c r="G36" s="61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</row>
    <row r="37" spans="1:19" ht="47.25" customHeight="1" x14ac:dyDescent="0.25">
      <c r="A37" s="57"/>
      <c r="B37" s="64"/>
      <c r="C37" s="57"/>
      <c r="D37" s="57"/>
      <c r="E37" s="61"/>
      <c r="F37" s="61"/>
      <c r="G37" s="61"/>
      <c r="H37" s="57"/>
      <c r="I37" s="515" t="str">
        <f>CONCATENATE("Declaro para os devidos fins que o regime de Contribuição Previdenciária sobre a Receita Bruta adotado para elaboração do orçamento foi ",IF(Q11="Sim","COM","SEM")," Desoneração, e que esta é a alternativa mais adequada para a Administração Pública.")</f>
        <v>Declaro para os devidos fins que o regime de Contribuição Previdenciária sobre a Receita Bruta adotado para elaboração do orçamento foi SEM Desoneração, e que esta é a alternativa mais adequada para a Administração Pública.</v>
      </c>
      <c r="J37" s="515"/>
      <c r="K37" s="515"/>
      <c r="L37" s="515"/>
      <c r="M37" s="515"/>
      <c r="N37" s="515"/>
      <c r="O37" s="515"/>
      <c r="P37" s="515"/>
      <c r="Q37" s="515"/>
      <c r="R37" s="515"/>
      <c r="S37" s="57"/>
    </row>
    <row r="38" spans="1:19" x14ac:dyDescent="0.25">
      <c r="A38" s="57" t="s">
        <v>115</v>
      </c>
      <c r="B38" s="60" t="s">
        <v>78</v>
      </c>
      <c r="C38" s="57" t="str">
        <f t="shared" si="0"/>
        <v>Fornecimento de Materiais e Equipamentos (aquisição indireta - em conjunto com licitação de obras)-AC</v>
      </c>
      <c r="D38" s="57"/>
      <c r="E38" s="61">
        <v>1.4999999999999999E-2</v>
      </c>
      <c r="F38" s="61">
        <v>3.4500000000000003E-2</v>
      </c>
      <c r="G38" s="61">
        <v>4.4900000000000002E-2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</row>
    <row r="39" spans="1:19" x14ac:dyDescent="0.25">
      <c r="A39" s="57" t="str">
        <f>A38</f>
        <v>Fornecimento de Materiais e Equipamentos (aquisição indireta - em conjunto com licitação de obras)</v>
      </c>
      <c r="B39" s="60" t="s">
        <v>79</v>
      </c>
      <c r="C39" s="57" t="str">
        <f t="shared" si="0"/>
        <v>Fornecimento de Materiais e Equipamentos (aquisição indireta - em conjunto com licitação de obras)-SG</v>
      </c>
      <c r="D39" s="57"/>
      <c r="E39" s="61">
        <v>3.0000000000000001E-3</v>
      </c>
      <c r="F39" s="61">
        <v>4.7999999999999996E-3</v>
      </c>
      <c r="G39" s="61">
        <v>8.199999999999999E-3</v>
      </c>
      <c r="H39" s="57"/>
      <c r="I39" s="57" t="s">
        <v>116</v>
      </c>
      <c r="J39" s="57"/>
      <c r="K39" s="57"/>
      <c r="L39" s="57"/>
      <c r="M39" s="57"/>
      <c r="N39" s="57"/>
      <c r="O39" s="57"/>
      <c r="P39" s="57"/>
      <c r="Q39" s="57"/>
      <c r="R39" s="57"/>
      <c r="S39" s="57"/>
    </row>
    <row r="40" spans="1:19" ht="52.5" customHeight="1" x14ac:dyDescent="0.25">
      <c r="A40" s="57" t="str">
        <f>A39</f>
        <v>Fornecimento de Materiais e Equipamentos (aquisição indireta - em conjunto com licitação de obras)</v>
      </c>
      <c r="B40" s="60" t="s">
        <v>80</v>
      </c>
      <c r="C40" s="57" t="str">
        <f t="shared" si="0"/>
        <v>Fornecimento de Materiais e Equipamentos (aquisição indireta - em conjunto com licitação de obras)-R</v>
      </c>
      <c r="D40" s="57"/>
      <c r="E40" s="61">
        <v>5.6000000000000008E-3</v>
      </c>
      <c r="F40" s="61">
        <v>8.5000000000000006E-3</v>
      </c>
      <c r="G40" s="61">
        <v>8.8999999999999999E-3</v>
      </c>
      <c r="H40" s="57"/>
      <c r="I40" s="516"/>
      <c r="J40" s="517"/>
      <c r="K40" s="517"/>
      <c r="L40" s="517"/>
      <c r="M40" s="517"/>
      <c r="N40" s="517"/>
      <c r="O40" s="517"/>
      <c r="P40" s="517"/>
      <c r="Q40" s="517"/>
      <c r="R40" s="518"/>
      <c r="S40" s="57"/>
    </row>
    <row r="41" spans="1:19" x14ac:dyDescent="0.25">
      <c r="A41" s="57" t="str">
        <f>A40</f>
        <v>Fornecimento de Materiais e Equipamentos (aquisição indireta - em conjunto com licitação de obras)</v>
      </c>
      <c r="B41" s="60" t="s">
        <v>83</v>
      </c>
      <c r="C41" s="57" t="str">
        <f t="shared" si="0"/>
        <v>Fornecimento de Materiais e Equipamentos (aquisição indireta - em conjunto com licitação de obras)-DF</v>
      </c>
      <c r="D41" s="57"/>
      <c r="E41" s="61">
        <v>8.5000000000000006E-3</v>
      </c>
      <c r="F41" s="61">
        <v>8.5000000000000006E-3</v>
      </c>
      <c r="G41" s="61">
        <v>1.11E-2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</row>
    <row r="42" spans="1:19" x14ac:dyDescent="0.25">
      <c r="A42" s="57" t="str">
        <f>A41</f>
        <v>Fornecimento de Materiais e Equipamentos (aquisição indireta - em conjunto com licitação de obras)</v>
      </c>
      <c r="B42" s="60" t="s">
        <v>84</v>
      </c>
      <c r="C42" s="57" t="str">
        <f t="shared" si="0"/>
        <v>Fornecimento de Materiais e Equipamentos (aquisição indireta - em conjunto com licitação de obras)-L</v>
      </c>
      <c r="D42" s="57"/>
      <c r="E42" s="61">
        <v>3.5000000000000003E-2</v>
      </c>
      <c r="F42" s="61">
        <v>5.1100000000000007E-2</v>
      </c>
      <c r="G42" s="61">
        <v>6.2199999999999998E-2</v>
      </c>
      <c r="H42" s="57"/>
      <c r="I42" s="519" t="str">
        <f>[1]PO!K45</f>
        <v>PAPAGAIOS / MG</v>
      </c>
      <c r="J42" s="519"/>
      <c r="K42" s="519"/>
      <c r="L42" s="519"/>
      <c r="M42" s="57"/>
      <c r="N42" s="57"/>
      <c r="O42" s="520">
        <f ca="1">TODAY()</f>
        <v>45271</v>
      </c>
      <c r="P42" s="520"/>
      <c r="Q42" s="520"/>
      <c r="R42" s="520"/>
      <c r="S42" s="57"/>
    </row>
    <row r="43" spans="1:19" x14ac:dyDescent="0.25">
      <c r="A43" s="57" t="str">
        <f>A42</f>
        <v>Fornecimento de Materiais e Equipamentos (aquisição indireta - em conjunto com licitação de obras)</v>
      </c>
      <c r="B43" s="64" t="s">
        <v>85</v>
      </c>
      <c r="C43" s="57" t="str">
        <f t="shared" si="0"/>
        <v>Fornecimento de Materiais e Equipamentos (aquisição indireta - em conjunto com licitação de obras)-BDI PAD</v>
      </c>
      <c r="D43" s="57"/>
      <c r="E43" s="61">
        <v>0.111</v>
      </c>
      <c r="F43" s="61">
        <v>0.14019999999999999</v>
      </c>
      <c r="G43" s="61">
        <v>0.16800000000000001</v>
      </c>
      <c r="H43" s="57"/>
      <c r="I43" s="521" t="s">
        <v>117</v>
      </c>
      <c r="J43" s="521"/>
      <c r="K43" s="521"/>
      <c r="L43" s="521"/>
      <c r="M43" s="57"/>
      <c r="N43" s="78"/>
      <c r="O43" s="79" t="s">
        <v>118</v>
      </c>
      <c r="P43" s="80"/>
      <c r="Q43" s="80"/>
      <c r="R43" s="80"/>
      <c r="S43" s="57"/>
    </row>
    <row r="44" spans="1:19" x14ac:dyDescent="0.25">
      <c r="A44" s="57" t="s">
        <v>119</v>
      </c>
      <c r="B44" s="60" t="s">
        <v>120</v>
      </c>
      <c r="C44" s="57" t="str">
        <f t="shared" si="0"/>
        <v>Estudos e Projetos, Planos e Gerenciamento e outros correlatos-K1</v>
      </c>
      <c r="D44" s="57"/>
      <c r="E44" s="61" t="s">
        <v>100</v>
      </c>
      <c r="F44" s="61" t="s">
        <v>100</v>
      </c>
      <c r="G44" s="61" t="s">
        <v>100</v>
      </c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</row>
    <row r="45" spans="1:19" ht="13.8" x14ac:dyDescent="0.25">
      <c r="A45" s="57" t="str">
        <f>A44</f>
        <v>Estudos e Projetos, Planos e Gerenciamento e outros correlatos</v>
      </c>
      <c r="B45" s="60" t="s">
        <v>121</v>
      </c>
      <c r="C45" s="57" t="str">
        <f t="shared" si="0"/>
        <v>Estudos e Projetos, Planos e Gerenciamento e outros correlatos-K2</v>
      </c>
      <c r="D45" s="57"/>
      <c r="E45" s="61" t="s">
        <v>100</v>
      </c>
      <c r="F45" s="61">
        <v>0.2</v>
      </c>
      <c r="G45" s="61" t="s">
        <v>100</v>
      </c>
      <c r="H45" s="57"/>
      <c r="I45" s="508"/>
      <c r="J45" s="508"/>
      <c r="K45" s="508"/>
      <c r="L45" s="508"/>
      <c r="M45" s="81"/>
      <c r="N45" s="81"/>
      <c r="O45" s="508"/>
      <c r="P45" s="508"/>
      <c r="Q45" s="508"/>
      <c r="R45" s="508"/>
      <c r="S45" s="57"/>
    </row>
    <row r="46" spans="1:19" x14ac:dyDescent="0.25">
      <c r="A46" s="57" t="str">
        <f>A45</f>
        <v>Estudos e Projetos, Planos e Gerenciamento e outros correlatos</v>
      </c>
      <c r="B46" s="60" t="s">
        <v>122</v>
      </c>
      <c r="C46" s="57" t="str">
        <f t="shared" si="0"/>
        <v>Estudos e Projetos, Planos e Gerenciamento e outros correlatos-</v>
      </c>
      <c r="D46" s="57"/>
      <c r="E46" s="61" t="s">
        <v>100</v>
      </c>
      <c r="F46" s="61" t="s">
        <v>100</v>
      </c>
      <c r="G46" s="61" t="s">
        <v>100</v>
      </c>
      <c r="H46" s="57"/>
      <c r="I46" s="506" t="s">
        <v>123</v>
      </c>
      <c r="J46" s="506"/>
      <c r="K46" s="506"/>
      <c r="L46" s="506"/>
      <c r="M46" s="82"/>
      <c r="N46" s="82"/>
      <c r="O46" s="506" t="s">
        <v>124</v>
      </c>
      <c r="P46" s="506"/>
      <c r="Q46" s="506"/>
      <c r="R46" s="506"/>
      <c r="S46" s="57"/>
    </row>
    <row r="47" spans="1:19" ht="13.8" x14ac:dyDescent="0.25">
      <c r="A47" s="57" t="str">
        <f>A46</f>
        <v>Estudos e Projetos, Planos e Gerenciamento e outros correlatos</v>
      </c>
      <c r="B47" s="60" t="s">
        <v>122</v>
      </c>
      <c r="C47" s="57" t="str">
        <f t="shared" si="0"/>
        <v>Estudos e Projetos, Planos e Gerenciamento e outros correlatos-</v>
      </c>
      <c r="D47" s="57"/>
      <c r="E47" s="61" t="s">
        <v>100</v>
      </c>
      <c r="F47" s="61" t="s">
        <v>100</v>
      </c>
      <c r="G47" s="61" t="s">
        <v>100</v>
      </c>
      <c r="H47" s="57"/>
      <c r="I47" s="83" t="s">
        <v>125</v>
      </c>
      <c r="J47" s="505" t="s">
        <v>147</v>
      </c>
      <c r="K47" s="505"/>
      <c r="L47" s="505"/>
      <c r="M47" s="84"/>
      <c r="N47" s="84"/>
      <c r="O47" s="83" t="s">
        <v>125</v>
      </c>
      <c r="P47" s="507" t="s">
        <v>222</v>
      </c>
      <c r="Q47" s="507"/>
      <c r="R47" s="507"/>
      <c r="S47" s="57"/>
    </row>
    <row r="48" spans="1:19" ht="13.8" x14ac:dyDescent="0.25">
      <c r="A48" s="57" t="str">
        <f>A47</f>
        <v>Estudos e Projetos, Planos e Gerenciamento e outros correlatos</v>
      </c>
      <c r="B48" s="60" t="s">
        <v>126</v>
      </c>
      <c r="C48" s="57" t="str">
        <f t="shared" si="0"/>
        <v>Estudos e Projetos, Planos e Gerenciamento e outros correlatos-K3</v>
      </c>
      <c r="D48" s="57"/>
      <c r="E48" s="61" t="s">
        <v>100</v>
      </c>
      <c r="F48" s="61">
        <v>0.12</v>
      </c>
      <c r="G48" s="61" t="s">
        <v>100</v>
      </c>
      <c r="H48" s="57"/>
      <c r="I48" s="83" t="s">
        <v>127</v>
      </c>
      <c r="J48" s="505" t="s">
        <v>148</v>
      </c>
      <c r="K48" s="505"/>
      <c r="L48" s="505"/>
      <c r="M48" s="84"/>
      <c r="N48" s="84"/>
      <c r="O48" s="83" t="s">
        <v>128</v>
      </c>
      <c r="P48" s="507" t="s">
        <v>223</v>
      </c>
      <c r="Q48" s="507"/>
      <c r="R48" s="507"/>
      <c r="S48" s="57"/>
    </row>
    <row r="49" spans="1:19" ht="13.8" x14ac:dyDescent="0.25">
      <c r="A49" s="57" t="str">
        <f>A48</f>
        <v>Estudos e Projetos, Planos e Gerenciamento e outros correlatos</v>
      </c>
      <c r="B49" s="64" t="s">
        <v>85</v>
      </c>
      <c r="C49" s="57" t="str">
        <f t="shared" si="0"/>
        <v>Estudos e Projetos, Planos e Gerenciamento e outros correlatos-BDI PAD</v>
      </c>
      <c r="D49" s="57"/>
      <c r="E49" s="61" t="s">
        <v>100</v>
      </c>
      <c r="F49" s="61" t="s">
        <v>100</v>
      </c>
      <c r="G49" s="61" t="s">
        <v>100</v>
      </c>
      <c r="H49" s="57"/>
      <c r="I49" s="83" t="str">
        <f>[1]DADOS!A56</f>
        <v>CREA/CAU:</v>
      </c>
      <c r="J49" s="505" t="s">
        <v>149</v>
      </c>
      <c r="K49" s="505"/>
      <c r="L49" s="505"/>
      <c r="M49" s="84"/>
      <c r="N49" s="84"/>
      <c r="O49" s="84"/>
      <c r="P49" s="84"/>
      <c r="Q49" s="84"/>
      <c r="R49" s="84"/>
      <c r="S49" s="57"/>
    </row>
    <row r="50" spans="1:19" x14ac:dyDescent="0.25">
      <c r="A50" s="57"/>
      <c r="B50" s="57"/>
      <c r="C50" s="57"/>
      <c r="D50" s="57"/>
      <c r="E50" s="57"/>
      <c r="F50" s="57"/>
      <c r="G50" s="57"/>
      <c r="H50" s="57"/>
      <c r="I50" s="83" t="str">
        <f>[1]DADOS!A57</f>
        <v>ART/RRT:</v>
      </c>
      <c r="J50" s="505"/>
      <c r="K50" s="505"/>
      <c r="L50" s="505"/>
      <c r="M50" s="57"/>
      <c r="N50" s="57"/>
      <c r="O50" s="57"/>
      <c r="P50" s="57"/>
      <c r="Q50" s="57"/>
      <c r="R50" s="57"/>
      <c r="S50" s="57"/>
    </row>
    <row r="51" spans="1:19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</row>
  </sheetData>
  <mergeCells count="54">
    <mergeCell ref="I8:R8"/>
    <mergeCell ref="I4:J4"/>
    <mergeCell ref="K4:R4"/>
    <mergeCell ref="I5:J5"/>
    <mergeCell ref="K5:R5"/>
    <mergeCell ref="I7:R7"/>
    <mergeCell ref="I10:P10"/>
    <mergeCell ref="Q10:R10"/>
    <mergeCell ref="I11:P11"/>
    <mergeCell ref="Q11:R11"/>
    <mergeCell ref="I13:P13"/>
    <mergeCell ref="Q13:R13"/>
    <mergeCell ref="I14:P14"/>
    <mergeCell ref="Q14:R14"/>
    <mergeCell ref="I16:L17"/>
    <mergeCell ref="M16:M17"/>
    <mergeCell ref="N16:N17"/>
    <mergeCell ref="O16:O17"/>
    <mergeCell ref="P16:P17"/>
    <mergeCell ref="Q16:Q17"/>
    <mergeCell ref="R16:R17"/>
    <mergeCell ref="J29:R29"/>
    <mergeCell ref="I18:L18"/>
    <mergeCell ref="I19:L19"/>
    <mergeCell ref="I20:L20"/>
    <mergeCell ref="I21:L21"/>
    <mergeCell ref="I22:L22"/>
    <mergeCell ref="I23:L23"/>
    <mergeCell ref="I24:L24"/>
    <mergeCell ref="I25:L25"/>
    <mergeCell ref="I26:L26"/>
    <mergeCell ref="I27:L27"/>
    <mergeCell ref="P27:R27"/>
    <mergeCell ref="I45:L45"/>
    <mergeCell ref="O45:R45"/>
    <mergeCell ref="I31:R31"/>
    <mergeCell ref="L32:L33"/>
    <mergeCell ref="M32:O32"/>
    <mergeCell ref="P32:P33"/>
    <mergeCell ref="M33:O33"/>
    <mergeCell ref="I35:R35"/>
    <mergeCell ref="I37:R37"/>
    <mergeCell ref="I40:R40"/>
    <mergeCell ref="I42:L42"/>
    <mergeCell ref="O42:R42"/>
    <mergeCell ref="I43:L43"/>
    <mergeCell ref="J49:L49"/>
    <mergeCell ref="J50:L50"/>
    <mergeCell ref="I46:L46"/>
    <mergeCell ref="O46:R46"/>
    <mergeCell ref="J47:L47"/>
    <mergeCell ref="P47:R47"/>
    <mergeCell ref="J48:L48"/>
    <mergeCell ref="P48:R48"/>
  </mergeCells>
  <conditionalFormatting sqref="O42">
    <cfRule type="expression" dxfId="8" priority="3" stopIfTrue="1">
      <formula>$O$42=""</formula>
    </cfRule>
  </conditionalFormatting>
  <conditionalFormatting sqref="O18:O27">
    <cfRule type="expression" dxfId="7" priority="8" stopIfTrue="1">
      <formula>AND(O18&lt;&gt;"OK",O18&lt;&gt;"-",O18&lt;&gt;"")</formula>
    </cfRule>
    <cfRule type="cellIs" dxfId="6" priority="9" stopIfTrue="1" operator="equal">
      <formula>"OK"</formula>
    </cfRule>
  </conditionalFormatting>
  <conditionalFormatting sqref="I26:N26">
    <cfRule type="expression" dxfId="5" priority="7" stopIfTrue="1">
      <formula>$Q$11="Não"</formula>
    </cfRule>
  </conditionalFormatting>
  <conditionalFormatting sqref="I27:N27">
    <cfRule type="expression" dxfId="4" priority="6" stopIfTrue="1">
      <formula>$Q$11="sim"</formula>
    </cfRule>
  </conditionalFormatting>
  <conditionalFormatting sqref="P27:R27">
    <cfRule type="expression" dxfId="3" priority="5" stopIfTrue="1">
      <formula>$Q$11="sim"</formula>
    </cfRule>
  </conditionalFormatting>
  <conditionalFormatting sqref="P47:R48">
    <cfRule type="expression" dxfId="2" priority="4" stopIfTrue="1">
      <formula>P47=""</formula>
    </cfRule>
  </conditionalFormatting>
  <conditionalFormatting sqref="I29:R29">
    <cfRule type="expression" dxfId="1" priority="2" stopIfTrue="1">
      <formula>AND(NOT($V$27),NOT($V$29))</formula>
    </cfRule>
  </conditionalFormatting>
  <conditionalFormatting sqref="P18:R26">
    <cfRule type="expression" dxfId="0" priority="1" stopIfTrue="1">
      <formula>$I$11=$A$58</formula>
    </cfRule>
  </conditionalFormatting>
  <dataValidations count="6">
    <dataValidation type="decimal" allowBlank="1" showInputMessage="1" showErrorMessage="1" errorTitle="Erro de valores" error="Digite um valor entre 0% e 100%" sqref="N18:N23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promptTitle="Valores comuns:" prompt="Normalmente entre 2 e 5%." sqref="Q14:R14">
      <formula1>0</formula1>
    </dataValidation>
    <dataValidation type="decimal" allowBlank="1" showInputMessage="1" showErrorMessage="1" errorTitle="Valor não permitido" error="Digite um percentual entre 0% e 100%." promptTitle="Valores admissíveis:" prompt="Insira valores entre 0 e 100%." sqref="Q13:R13">
      <formula1>0</formula1>
      <formula2>1</formula2>
    </dataValidation>
    <dataValidation type="decimal" allowBlank="1" showInputMessage="1" showErrorMessage="1" errorTitle="Erro de valores" error="Digite um valor maior do que 0." sqref="N24">
      <formula1>0</formula1>
      <formula2>1</formula2>
    </dataValidation>
    <dataValidation operator="greaterThanOrEqual" allowBlank="1" showInputMessage="1" showErrorMessage="1" errorTitle="Erro de valores" error="Digite um valor igual a 0% ou 2%." sqref="N25"/>
    <dataValidation type="list" allowBlank="1" showInputMessage="1" showErrorMessage="1" sqref="I11:P11">
      <formula1>$A$52:$A$59</formula1>
    </dataValidation>
  </dataValidations>
  <pageMargins left="0.511811024" right="0.511811024" top="0.78740157499999996" bottom="0.78740157499999996" header="0.31496062000000002" footer="0.31496062000000002"/>
  <pageSetup paperSize="9" scale="88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</vt:lpstr>
      <vt:lpstr>CRONOGRAMA</vt:lpstr>
      <vt:lpstr>COMPOSIÇÃO BDI</vt:lpstr>
      <vt:lpstr>PLANILHA!Area_de_impressao</vt:lpstr>
      <vt:lpstr>PLANILHA!Titulos_de_impressao</vt:lpstr>
    </vt:vector>
  </TitlesOfParts>
  <Company>Setop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Karina</cp:lastModifiedBy>
  <cp:lastPrinted>2023-12-11T15:54:14Z</cp:lastPrinted>
  <dcterms:created xsi:type="dcterms:W3CDTF">2006-09-22T13:55:22Z</dcterms:created>
  <dcterms:modified xsi:type="dcterms:W3CDTF">2023-12-11T15:54:58Z</dcterms:modified>
</cp:coreProperties>
</file>